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qhuynh\Dropbox\UBC\OM_library\Atlantic_Herring_4TSpringSpawn_DFO\"/>
    </mc:Choice>
  </mc:AlternateContent>
  <bookViews>
    <workbookView xWindow="0" yWindow="0" windowWidth="23040" windowHeight="8985" tabRatio="736"/>
  </bookViews>
  <sheets>
    <sheet name="Stock" sheetId="1" r:id="rId1"/>
    <sheet name="Fleet" sheetId="15" r:id="rId2"/>
    <sheet name="Obs" sheetId="16" r:id="rId3"/>
    <sheet name="Imp" sheetId="17" r:id="rId4"/>
    <sheet name="OM" sheetId="13" r:id="rId5"/>
    <sheet name="SR" sheetId="21" r:id="rId6"/>
    <sheet name="Growth" sheetId="22" r:id="rId7"/>
    <sheet name="SSB0" sheetId="19" r:id="rId8"/>
    <sheet name="M calcs" sheetId="18" r:id="rId9"/>
  </sheets>
  <definedNames>
    <definedName name="a50mat" localSheetId="5">#REF!</definedName>
    <definedName name="a50mat">#REF!</definedName>
    <definedName name="a50mat_04" localSheetId="5">#REF!</definedName>
    <definedName name="a50mat_04">#REF!</definedName>
    <definedName name="alw" localSheetId="5">#REF!</definedName>
    <definedName name="alw">#REF!</definedName>
    <definedName name="alw_co" localSheetId="5">#REF!</definedName>
    <definedName name="alw_co">#REF!</definedName>
    <definedName name="asdmat" localSheetId="5">#REF!</definedName>
    <definedName name="asdmat">#REF!</definedName>
    <definedName name="asdmat_04" localSheetId="5">#REF!</definedName>
    <definedName name="asdmat_04">#REF!</definedName>
    <definedName name="blw" localSheetId="5">#REF!</definedName>
    <definedName name="blw">#REF!</definedName>
    <definedName name="blw_co" localSheetId="5">#REF!</definedName>
    <definedName name="blw_co">#REF!</definedName>
    <definedName name="hs" localSheetId="5">SR!$D$4</definedName>
    <definedName name="hs">#REF!</definedName>
    <definedName name="k" localSheetId="5">#REF!</definedName>
    <definedName name="k">#REF!</definedName>
    <definedName name="linf" localSheetId="5">#REF!</definedName>
    <definedName name="linf">#REF!</definedName>
    <definedName name="lmat50" localSheetId="5">#REF!</definedName>
    <definedName name="lmat50">#REF!</definedName>
    <definedName name="lmatsd" localSheetId="5">#REF!</definedName>
    <definedName name="lmatsd">#REF!</definedName>
    <definedName name="solver_adj" localSheetId="6" hidden="1">Growth!$C$13:$E$13</definedName>
    <definedName name="solver_adj" localSheetId="5" hidden="1">SR!$B$4:$D$4</definedName>
    <definedName name="solver_cvg" localSheetId="6" hidden="1">0.0001</definedName>
    <definedName name="solver_cvg" localSheetId="5" hidden="1">0.0001</definedName>
    <definedName name="solver_drv" localSheetId="6" hidden="1">1</definedName>
    <definedName name="solver_drv" localSheetId="5" hidden="1">2</definedName>
    <definedName name="solver_eng" localSheetId="6" hidden="1">1</definedName>
    <definedName name="solver_eng" localSheetId="5" hidden="1">1</definedName>
    <definedName name="solver_est" localSheetId="6" hidden="1">1</definedName>
    <definedName name="solver_est" localSheetId="5" hidden="1">1</definedName>
    <definedName name="solver_itr" localSheetId="6" hidden="1">2147483647</definedName>
    <definedName name="solver_itr" localSheetId="5" hidden="1">2147483647</definedName>
    <definedName name="solver_lhs1" localSheetId="6" hidden="1">Growth!$C$13</definedName>
    <definedName name="solver_lhs1" localSheetId="5" hidden="1">SR!$B$4</definedName>
    <definedName name="solver_lhs2" localSheetId="6" hidden="1">Growth!$D$13</definedName>
    <definedName name="solver_lhs2" localSheetId="5" hidden="1">SR!$B$4</definedName>
    <definedName name="solver_lhs3" localSheetId="6" hidden="1">Growth!$E$13</definedName>
    <definedName name="solver_lhs3" localSheetId="5" hidden="1">SR!$C$4</definedName>
    <definedName name="solver_lhs4" localSheetId="6" hidden="1">Growth!$E$13</definedName>
    <definedName name="solver_lhs4" localSheetId="5" hidden="1">SR!$C$4</definedName>
    <definedName name="solver_lhs5" localSheetId="5" hidden="1">SR!$D$4</definedName>
    <definedName name="solver_lhs6" localSheetId="5" hidden="1">SR!$D$4</definedName>
    <definedName name="solver_mip" localSheetId="6" hidden="1">2147483647</definedName>
    <definedName name="solver_mip" localSheetId="5" hidden="1">2147483647</definedName>
    <definedName name="solver_mni" localSheetId="6" hidden="1">30</definedName>
    <definedName name="solver_mni" localSheetId="5" hidden="1">30</definedName>
    <definedName name="solver_mrt" localSheetId="6" hidden="1">0.075</definedName>
    <definedName name="solver_mrt" localSheetId="5" hidden="1">0.075</definedName>
    <definedName name="solver_msl" localSheetId="6" hidden="1">2</definedName>
    <definedName name="solver_msl" localSheetId="5" hidden="1">2</definedName>
    <definedName name="solver_neg" localSheetId="6" hidden="1">1</definedName>
    <definedName name="solver_neg" localSheetId="5" hidden="1">1</definedName>
    <definedName name="solver_nod" localSheetId="6" hidden="1">2147483647</definedName>
    <definedName name="solver_nod" localSheetId="5" hidden="1">2147483647</definedName>
    <definedName name="solver_num" localSheetId="6" hidden="1">4</definedName>
    <definedName name="solver_num" localSheetId="5" hidden="1">6</definedName>
    <definedName name="solver_nwt" localSheetId="6" hidden="1">1</definedName>
    <definedName name="solver_nwt" localSheetId="5" hidden="1">1</definedName>
    <definedName name="solver_opt" localSheetId="6" hidden="1">Growth!$F$21</definedName>
    <definedName name="solver_opt" localSheetId="5" hidden="1">SR!$D$5</definedName>
    <definedName name="solver_pre" localSheetId="6" hidden="1">0.000001</definedName>
    <definedName name="solver_pre" localSheetId="5" hidden="1">0.000001</definedName>
    <definedName name="solver_rbv" localSheetId="6" hidden="1">1</definedName>
    <definedName name="solver_rbv" localSheetId="5" hidden="1">2</definedName>
    <definedName name="solver_rel1" localSheetId="6" hidden="1">1</definedName>
    <definedName name="solver_rel1" localSheetId="5" hidden="1">1</definedName>
    <definedName name="solver_rel2" localSheetId="6" hidden="1">3</definedName>
    <definedName name="solver_rel2" localSheetId="5" hidden="1">3</definedName>
    <definedName name="solver_rel3" localSheetId="6" hidden="1">1</definedName>
    <definedName name="solver_rel3" localSheetId="5" hidden="1">1</definedName>
    <definedName name="solver_rel4" localSheetId="6" hidden="1">3</definedName>
    <definedName name="solver_rel4" localSheetId="5" hidden="1">3</definedName>
    <definedName name="solver_rel5" localSheetId="5" hidden="1">1</definedName>
    <definedName name="solver_rel6" localSheetId="5" hidden="1">3</definedName>
    <definedName name="solver_rhs1" localSheetId="6" hidden="1">0</definedName>
    <definedName name="solver_rhs1" localSheetId="5" hidden="1">SR!$B$3</definedName>
    <definedName name="solver_rhs2" localSheetId="6" hidden="1">0.05</definedName>
    <definedName name="solver_rhs2" localSheetId="5" hidden="1">SR!$B$2</definedName>
    <definedName name="solver_rhs3" localSheetId="6" hidden="1">250</definedName>
    <definedName name="solver_rhs3" localSheetId="5" hidden="1">SR!$C$3</definedName>
    <definedName name="solver_rhs4" localSheetId="6" hidden="1">95</definedName>
    <definedName name="solver_rhs4" localSheetId="5" hidden="1">SR!$C$2</definedName>
    <definedName name="solver_rhs5" localSheetId="5" hidden="1">SR!$D$3</definedName>
    <definedName name="solver_rhs6" localSheetId="5" hidden="1">SR!$D$2</definedName>
    <definedName name="solver_rlx" localSheetId="6" hidden="1">2</definedName>
    <definedName name="solver_rlx" localSheetId="5" hidden="1">2</definedName>
    <definedName name="solver_rsd" localSheetId="6" hidden="1">0</definedName>
    <definedName name="solver_rsd" localSheetId="5" hidden="1">0</definedName>
    <definedName name="solver_scl" localSheetId="6" hidden="1">1</definedName>
    <definedName name="solver_scl" localSheetId="5" hidden="1">1</definedName>
    <definedName name="solver_sho" localSheetId="6" hidden="1">2</definedName>
    <definedName name="solver_sho" localSheetId="5" hidden="1">2</definedName>
    <definedName name="solver_ssz" localSheetId="6" hidden="1">100</definedName>
    <definedName name="solver_ssz" localSheetId="5" hidden="1">100</definedName>
    <definedName name="solver_tim" localSheetId="6" hidden="1">2147483647</definedName>
    <definedName name="solver_tim" localSheetId="5" hidden="1">2147483647</definedName>
    <definedName name="solver_tol" localSheetId="6" hidden="1">0.01</definedName>
    <definedName name="solver_tol" localSheetId="5" hidden="1">0.01</definedName>
    <definedName name="solver_typ" localSheetId="6" hidden="1">2</definedName>
    <definedName name="solver_typ" localSheetId="5" hidden="1">2</definedName>
    <definedName name="solver_val" localSheetId="6" hidden="1">0</definedName>
    <definedName name="solver_val" localSheetId="5" hidden="1">0</definedName>
    <definedName name="solver_ver" localSheetId="6" hidden="1">3</definedName>
    <definedName name="solver_ver" localSheetId="5" hidden="1">3</definedName>
    <definedName name="t0" localSheetId="5">#REF!</definedName>
    <definedName name="t0">#REF!</definedName>
  </definedNames>
  <calcPr calcId="152511"/>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1" l="1"/>
  <c r="M29" i="19" l="1"/>
  <c r="M28" i="19"/>
  <c r="M27" i="19"/>
  <c r="M26" i="19"/>
  <c r="M25" i="19"/>
  <c r="M24" i="19"/>
  <c r="M23" i="19"/>
  <c r="M22" i="19"/>
  <c r="M21" i="19"/>
  <c r="M20" i="19"/>
  <c r="M19" i="19"/>
  <c r="M18" i="19"/>
  <c r="M17" i="19"/>
  <c r="M16" i="19"/>
  <c r="M15" i="19"/>
  <c r="M14" i="19"/>
  <c r="M13" i="19"/>
  <c r="M12" i="19"/>
  <c r="M11" i="19"/>
  <c r="M10" i="19"/>
  <c r="J10" i="19"/>
  <c r="J11" i="19" s="1"/>
  <c r="J12" i="19" s="1"/>
  <c r="J13" i="19" s="1"/>
  <c r="J14" i="19" s="1"/>
  <c r="J15" i="19" s="1"/>
  <c r="J16" i="19" s="1"/>
  <c r="J17" i="19" s="1"/>
  <c r="J18" i="19" s="1"/>
  <c r="J19" i="19" s="1"/>
  <c r="J20" i="19" s="1"/>
  <c r="J21" i="19" s="1"/>
  <c r="J22" i="19" s="1"/>
  <c r="J23" i="19" s="1"/>
  <c r="J24" i="19" s="1"/>
  <c r="J25" i="19" s="1"/>
  <c r="J26" i="19" s="1"/>
  <c r="J27" i="19" s="1"/>
  <c r="J28" i="19" s="1"/>
  <c r="J29" i="19" s="1"/>
  <c r="J6" i="19"/>
  <c r="K25" i="19" s="1"/>
  <c r="L25" i="19" s="1"/>
  <c r="J5" i="19"/>
  <c r="E11" i="19"/>
  <c r="E12" i="19"/>
  <c r="E13" i="19"/>
  <c r="E14" i="19"/>
  <c r="E15" i="19"/>
  <c r="E16" i="19"/>
  <c r="E17" i="19"/>
  <c r="E18" i="19"/>
  <c r="E19" i="19"/>
  <c r="E20" i="19"/>
  <c r="E21" i="19"/>
  <c r="E22" i="19"/>
  <c r="E23" i="19"/>
  <c r="E24" i="19"/>
  <c r="E25" i="19"/>
  <c r="E26" i="19"/>
  <c r="E27" i="19"/>
  <c r="E28" i="19"/>
  <c r="E29" i="19"/>
  <c r="E10" i="19"/>
  <c r="C12" i="19"/>
  <c r="D12" i="19" s="1"/>
  <c r="C13" i="19"/>
  <c r="D13" i="19" s="1"/>
  <c r="C20" i="19"/>
  <c r="D20" i="19" s="1"/>
  <c r="C21" i="19"/>
  <c r="D21" i="19" s="1"/>
  <c r="C28" i="19"/>
  <c r="D28" i="19" s="1"/>
  <c r="C29" i="19"/>
  <c r="D29" i="19" s="1"/>
  <c r="B11" i="19"/>
  <c r="B12" i="19" s="1"/>
  <c r="B13" i="19" s="1"/>
  <c r="B14" i="19" s="1"/>
  <c r="B15" i="19" s="1"/>
  <c r="B16" i="19" s="1"/>
  <c r="B17" i="19" s="1"/>
  <c r="B18" i="19" s="1"/>
  <c r="B19" i="19" s="1"/>
  <c r="B20" i="19" s="1"/>
  <c r="B21" i="19" s="1"/>
  <c r="B22" i="19" s="1"/>
  <c r="B23" i="19" s="1"/>
  <c r="B24" i="19" s="1"/>
  <c r="B25" i="19" s="1"/>
  <c r="B26" i="19" s="1"/>
  <c r="B27" i="19" s="1"/>
  <c r="B28" i="19" s="1"/>
  <c r="B29" i="19" s="1"/>
  <c r="B6" i="19"/>
  <c r="C14" i="19" s="1"/>
  <c r="D14" i="19" s="1"/>
  <c r="B5" i="19"/>
  <c r="B10" i="19"/>
  <c r="I14" i="22"/>
  <c r="I3" i="22"/>
  <c r="C15" i="22"/>
  <c r="D15" i="22" s="1"/>
  <c r="E15" i="22" s="1"/>
  <c r="C16" i="22"/>
  <c r="D16" i="22" s="1"/>
  <c r="E16" i="22" s="1"/>
  <c r="C17" i="22"/>
  <c r="D17" i="22" s="1"/>
  <c r="E17" i="22" s="1"/>
  <c r="C18" i="22"/>
  <c r="D18" i="22" s="1"/>
  <c r="E18" i="22" s="1"/>
  <c r="C19" i="22"/>
  <c r="D19" i="22" s="1"/>
  <c r="E19" i="22" s="1"/>
  <c r="C20" i="22"/>
  <c r="D20" i="22" s="1"/>
  <c r="E20" i="22" s="1"/>
  <c r="C21" i="22"/>
  <c r="D21" i="22" s="1"/>
  <c r="E21" i="22" s="1"/>
  <c r="B2" i="22"/>
  <c r="A2" i="22"/>
  <c r="B1" i="22"/>
  <c r="C14" i="22"/>
  <c r="D14" i="22" s="1"/>
  <c r="E14" i="22" s="1"/>
  <c r="C4" i="22"/>
  <c r="D4" i="22" s="1"/>
  <c r="E4" i="22" s="1"/>
  <c r="C5" i="22"/>
  <c r="D5" i="22" s="1"/>
  <c r="E5" i="22" s="1"/>
  <c r="C6" i="22"/>
  <c r="D6" i="22" s="1"/>
  <c r="E6" i="22" s="1"/>
  <c r="C7" i="22"/>
  <c r="D7" i="22" s="1"/>
  <c r="E7" i="22" s="1"/>
  <c r="C8" i="22"/>
  <c r="D8" i="22" s="1"/>
  <c r="E8" i="22" s="1"/>
  <c r="C9" i="22"/>
  <c r="D9" i="22" s="1"/>
  <c r="E9" i="22" s="1"/>
  <c r="C10" i="22"/>
  <c r="D10" i="22" s="1"/>
  <c r="E10" i="22" s="1"/>
  <c r="C3" i="22"/>
  <c r="D3" i="22" s="1"/>
  <c r="E3" i="22" s="1"/>
  <c r="F14" i="19" l="1"/>
  <c r="F23" i="19"/>
  <c r="F13" i="19"/>
  <c r="F29" i="19"/>
  <c r="F21" i="19"/>
  <c r="F28" i="19"/>
  <c r="F20" i="19"/>
  <c r="F12" i="19"/>
  <c r="C27" i="19"/>
  <c r="D27" i="19" s="1"/>
  <c r="F27" i="19" s="1"/>
  <c r="C19" i="19"/>
  <c r="D19" i="19" s="1"/>
  <c r="F19" i="19" s="1"/>
  <c r="C11" i="19"/>
  <c r="D11" i="19" s="1"/>
  <c r="F11" i="19" s="1"/>
  <c r="C26" i="19"/>
  <c r="D26" i="19" s="1"/>
  <c r="F26" i="19" s="1"/>
  <c r="C18" i="19"/>
  <c r="D18" i="19" s="1"/>
  <c r="F18" i="19" s="1"/>
  <c r="C25" i="19"/>
  <c r="D25" i="19" s="1"/>
  <c r="F25" i="19" s="1"/>
  <c r="C17" i="19"/>
  <c r="D17" i="19" s="1"/>
  <c r="F17" i="19" s="1"/>
  <c r="C10" i="19"/>
  <c r="D10" i="19" s="1"/>
  <c r="F10" i="19" s="1"/>
  <c r="C24" i="19"/>
  <c r="D24" i="19" s="1"/>
  <c r="F24" i="19" s="1"/>
  <c r="C16" i="19"/>
  <c r="D16" i="19" s="1"/>
  <c r="F16" i="19" s="1"/>
  <c r="C23" i="19"/>
  <c r="D23" i="19" s="1"/>
  <c r="C15" i="19"/>
  <c r="D15" i="19" s="1"/>
  <c r="F15" i="19" s="1"/>
  <c r="C22" i="19"/>
  <c r="D22" i="19" s="1"/>
  <c r="F22" i="19" s="1"/>
  <c r="N25" i="19"/>
  <c r="K14" i="19"/>
  <c r="L14" i="19" s="1"/>
  <c r="N14" i="19" s="1"/>
  <c r="K22" i="19"/>
  <c r="L22" i="19" s="1"/>
  <c r="N22" i="19" s="1"/>
  <c r="K12" i="19"/>
  <c r="L12" i="19" s="1"/>
  <c r="N12" i="19" s="1"/>
  <c r="K11" i="19"/>
  <c r="L11" i="19" s="1"/>
  <c r="N11" i="19" s="1"/>
  <c r="K19" i="19"/>
  <c r="L19" i="19" s="1"/>
  <c r="N19" i="19" s="1"/>
  <c r="K27" i="19"/>
  <c r="L27" i="19" s="1"/>
  <c r="N27" i="19" s="1"/>
  <c r="K16" i="19"/>
  <c r="L16" i="19" s="1"/>
  <c r="N16" i="19" s="1"/>
  <c r="K24" i="19"/>
  <c r="L24" i="19" s="1"/>
  <c r="N24" i="19" s="1"/>
  <c r="K13" i="19"/>
  <c r="L13" i="19" s="1"/>
  <c r="N13" i="19" s="1"/>
  <c r="K21" i="19"/>
  <c r="L21" i="19" s="1"/>
  <c r="N21" i="19" s="1"/>
  <c r="K29" i="19"/>
  <c r="L29" i="19" s="1"/>
  <c r="N29" i="19" s="1"/>
  <c r="K10" i="19"/>
  <c r="L10" i="19" s="1"/>
  <c r="N10" i="19" s="1"/>
  <c r="K18" i="19"/>
  <c r="L18" i="19" s="1"/>
  <c r="N18" i="19" s="1"/>
  <c r="K26" i="19"/>
  <c r="L26" i="19" s="1"/>
  <c r="N26" i="19" s="1"/>
  <c r="K15" i="19"/>
  <c r="L15" i="19" s="1"/>
  <c r="N15" i="19" s="1"/>
  <c r="K23" i="19"/>
  <c r="L23" i="19" s="1"/>
  <c r="N23" i="19" s="1"/>
  <c r="K28" i="19"/>
  <c r="L28" i="19" s="1"/>
  <c r="N28" i="19" s="1"/>
  <c r="K20" i="19"/>
  <c r="L20" i="19" s="1"/>
  <c r="N20" i="19" s="1"/>
  <c r="K17" i="19"/>
  <c r="L17" i="19" s="1"/>
  <c r="N17" i="19" s="1"/>
  <c r="F21" i="22"/>
  <c r="F10" i="22"/>
  <c r="B8" i="21"/>
  <c r="D8" i="21" s="1"/>
  <c r="E8" i="21" s="1"/>
  <c r="G8" i="21" s="1"/>
  <c r="B9" i="21"/>
  <c r="B10" i="21"/>
  <c r="D10" i="21" s="1"/>
  <c r="E10" i="21" s="1"/>
  <c r="G10" i="21" s="1"/>
  <c r="B11" i="21"/>
  <c r="D11" i="21" s="1"/>
  <c r="E11" i="21" s="1"/>
  <c r="B12" i="21"/>
  <c r="D12" i="21" s="1"/>
  <c r="E12" i="21" s="1"/>
  <c r="G12" i="21" s="1"/>
  <c r="B13" i="21"/>
  <c r="D13" i="21" s="1"/>
  <c r="E13" i="21" s="1"/>
  <c r="B14" i="21"/>
  <c r="D14" i="21" s="1"/>
  <c r="E14" i="21" s="1"/>
  <c r="G14" i="21" s="1"/>
  <c r="B15" i="21"/>
  <c r="D15" i="21" s="1"/>
  <c r="E15" i="21" s="1"/>
  <c r="B16" i="21"/>
  <c r="D16" i="21" s="1"/>
  <c r="E16" i="21" s="1"/>
  <c r="G16" i="21" s="1"/>
  <c r="B17" i="21"/>
  <c r="D17" i="21" s="1"/>
  <c r="E17" i="21" s="1"/>
  <c r="B18" i="21"/>
  <c r="D18" i="21" s="1"/>
  <c r="E18" i="21" s="1"/>
  <c r="G18" i="21" s="1"/>
  <c r="B19" i="21"/>
  <c r="D19" i="21" s="1"/>
  <c r="E19" i="21" s="1"/>
  <c r="B20" i="21"/>
  <c r="D20" i="21" s="1"/>
  <c r="E20" i="21" s="1"/>
  <c r="G20" i="21" s="1"/>
  <c r="B21" i="21"/>
  <c r="D21" i="21" s="1"/>
  <c r="E21" i="21" s="1"/>
  <c r="B22" i="21"/>
  <c r="B23" i="21"/>
  <c r="B24" i="21"/>
  <c r="D24" i="21" s="1"/>
  <c r="E24" i="21" s="1"/>
  <c r="G24" i="21" s="1"/>
  <c r="B25" i="21"/>
  <c r="B26" i="21"/>
  <c r="B27" i="21"/>
  <c r="D27" i="21" s="1"/>
  <c r="E27" i="21" s="1"/>
  <c r="B28" i="21"/>
  <c r="D28" i="21" s="1"/>
  <c r="E28" i="21" s="1"/>
  <c r="G28" i="21" s="1"/>
  <c r="B29" i="21"/>
  <c r="D29" i="21" s="1"/>
  <c r="E29" i="21" s="1"/>
  <c r="B30" i="21"/>
  <c r="B31" i="21"/>
  <c r="B32" i="21"/>
  <c r="D32" i="21" s="1"/>
  <c r="E32" i="21" s="1"/>
  <c r="G32" i="21" s="1"/>
  <c r="B33" i="21"/>
  <c r="B7" i="21"/>
  <c r="D7" i="21" s="1"/>
  <c r="E7" i="21" s="1"/>
  <c r="D33" i="21"/>
  <c r="E33" i="21" s="1"/>
  <c r="D31" i="21"/>
  <c r="E31" i="21" s="1"/>
  <c r="D30" i="21"/>
  <c r="E30" i="21" s="1"/>
  <c r="G30" i="21" s="1"/>
  <c r="D26" i="21"/>
  <c r="E26" i="21" s="1"/>
  <c r="G26" i="21" s="1"/>
  <c r="D25" i="21"/>
  <c r="E25" i="21" s="1"/>
  <c r="D23" i="21"/>
  <c r="E23" i="21" s="1"/>
  <c r="D22" i="21"/>
  <c r="E22" i="21" s="1"/>
  <c r="G22" i="21" s="1"/>
  <c r="D9" i="21"/>
  <c r="E9" i="21" s="1"/>
  <c r="G29" i="19" l="1"/>
  <c r="G31" i="19" s="1"/>
  <c r="O29" i="19"/>
  <c r="O31" i="19" s="1"/>
  <c r="G7" i="21"/>
  <c r="F7" i="21"/>
  <c r="G9" i="21"/>
  <c r="F9" i="21"/>
  <c r="G25" i="21"/>
  <c r="F25" i="21"/>
  <c r="G19" i="21"/>
  <c r="F19" i="21"/>
  <c r="G15" i="21"/>
  <c r="F15" i="21"/>
  <c r="G31" i="21"/>
  <c r="F31" i="21"/>
  <c r="G21" i="21"/>
  <c r="F21" i="21"/>
  <c r="G11" i="21"/>
  <c r="F11" i="21"/>
  <c r="G27" i="21"/>
  <c r="F27" i="21"/>
  <c r="G17" i="21"/>
  <c r="F17" i="21"/>
  <c r="G33" i="21"/>
  <c r="F33" i="21"/>
  <c r="G23" i="21"/>
  <c r="F23" i="21"/>
  <c r="G13" i="21"/>
  <c r="F13" i="21"/>
  <c r="G29" i="21"/>
  <c r="F29" i="21"/>
  <c r="F8" i="21"/>
  <c r="F10" i="21"/>
  <c r="F12" i="21"/>
  <c r="F14" i="21"/>
  <c r="F16" i="21"/>
  <c r="F18" i="21"/>
  <c r="F20" i="21"/>
  <c r="F22" i="21"/>
  <c r="F24" i="21"/>
  <c r="F26" i="21"/>
  <c r="F28" i="21"/>
  <c r="F30" i="21"/>
  <c r="F32" i="21"/>
  <c r="D5" i="21" l="1"/>
  <c r="C36" i="18" l="1"/>
  <c r="B3" i="18"/>
  <c r="B4" i="18" s="1"/>
  <c r="B5" i="18" l="1"/>
  <c r="B6" i="18" l="1"/>
  <c r="B7" i="18" l="1"/>
  <c r="B8" i="18" l="1"/>
  <c r="B9" i="18" l="1"/>
  <c r="B10" i="18" l="1"/>
  <c r="B11" i="18" l="1"/>
  <c r="B12" i="18" l="1"/>
  <c r="B13" i="18" l="1"/>
  <c r="B14" i="18" l="1"/>
  <c r="B15" i="18" l="1"/>
  <c r="B16" i="18" l="1"/>
  <c r="B17" i="18" l="1"/>
  <c r="B18" i="18" l="1"/>
  <c r="B19" i="18" l="1"/>
  <c r="B20" i="18" l="1"/>
  <c r="B21" i="18" l="1"/>
  <c r="B22" i="18" l="1"/>
  <c r="B23" i="18" l="1"/>
  <c r="B24" i="18" l="1"/>
  <c r="B25" i="18" l="1"/>
  <c r="B26" i="18" l="1"/>
  <c r="B27" i="18" l="1"/>
  <c r="B28" i="18" l="1"/>
  <c r="B29" i="18" l="1"/>
  <c r="B30" i="18" l="1"/>
  <c r="B31" i="18" l="1"/>
  <c r="B32" i="18" l="1"/>
  <c r="B33" i="18" l="1"/>
  <c r="B34" i="18" l="1"/>
  <c r="B35" i="18" l="1"/>
  <c r="B36" i="18" l="1"/>
  <c r="C35" i="18"/>
  <c r="C3" i="18" l="1"/>
  <c r="C4" i="18"/>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alcChain>
</file>

<file path=xl/sharedStrings.xml><?xml version="1.0" encoding="utf-8"?>
<sst xmlns="http://schemas.openxmlformats.org/spreadsheetml/2006/main" count="221" uniqueCount="163">
  <si>
    <t>Name</t>
  </si>
  <si>
    <t>maxage</t>
  </si>
  <si>
    <t>R0</t>
  </si>
  <si>
    <t>M</t>
  </si>
  <si>
    <t>Msd</t>
  </si>
  <si>
    <t>Mgrad</t>
  </si>
  <si>
    <t>h</t>
  </si>
  <si>
    <t>SRrel</t>
  </si>
  <si>
    <t>Linf</t>
  </si>
  <si>
    <t>Linfsd</t>
  </si>
  <si>
    <t>Linfgrad</t>
  </si>
  <si>
    <t>K</t>
  </si>
  <si>
    <t>Ksd</t>
  </si>
  <si>
    <t>Kgrad</t>
  </si>
  <si>
    <t>t0</t>
  </si>
  <si>
    <t>AC</t>
  </si>
  <si>
    <t>a</t>
  </si>
  <si>
    <t>b</t>
  </si>
  <si>
    <t>L50</t>
  </si>
  <si>
    <t>L50_95</t>
  </si>
  <si>
    <t>D</t>
  </si>
  <si>
    <t>Perr</t>
  </si>
  <si>
    <t>Frac_area_1</t>
  </si>
  <si>
    <t>Prob_staying</t>
  </si>
  <si>
    <t>nyears</t>
  </si>
  <si>
    <t>Spat_targ</t>
  </si>
  <si>
    <t>SelYears</t>
  </si>
  <si>
    <t>AbsSelYears</t>
  </si>
  <si>
    <t>LFSLower</t>
  </si>
  <si>
    <t>LFSUpper</t>
  </si>
  <si>
    <t>L5Lower</t>
  </si>
  <si>
    <t>L5Upper</t>
  </si>
  <si>
    <t>VmaxLower</t>
  </si>
  <si>
    <t>VmaxUpper</t>
  </si>
  <si>
    <t>LFS</t>
  </si>
  <si>
    <t>L5</t>
  </si>
  <si>
    <t>Vmaxlen</t>
  </si>
  <si>
    <t>qinc</t>
  </si>
  <si>
    <t>qcv</t>
  </si>
  <si>
    <t>EffYears</t>
  </si>
  <si>
    <t>EffLower</t>
  </si>
  <si>
    <t>EffUpper</t>
  </si>
  <si>
    <t>isRel</t>
  </si>
  <si>
    <t>Cobs</t>
  </si>
  <si>
    <t>Cbiascv</t>
  </si>
  <si>
    <t>CAA_nsamp</t>
  </si>
  <si>
    <t>CAA_ESS</t>
  </si>
  <si>
    <t>CAL_nsamp</t>
  </si>
  <si>
    <t>CAL_ESS</t>
  </si>
  <si>
    <t>Iobs</t>
  </si>
  <si>
    <t>Dbiascv</t>
  </si>
  <si>
    <t>beta</t>
  </si>
  <si>
    <t>TACSD</t>
  </si>
  <si>
    <t>TACFrac</t>
  </si>
  <si>
    <t>SizeLimSD</t>
  </si>
  <si>
    <t>SizeLimFrac</t>
  </si>
  <si>
    <t>Source</t>
  </si>
  <si>
    <t>Period</t>
  </si>
  <si>
    <t>Amplitude</t>
  </si>
  <si>
    <t>Fdisc</t>
  </si>
  <si>
    <t>Esd</t>
  </si>
  <si>
    <t>LR5</t>
  </si>
  <si>
    <t>LFR</t>
  </si>
  <si>
    <t>Rmaxlen</t>
  </si>
  <si>
    <t>DR</t>
  </si>
  <si>
    <t>CurrentYr</t>
  </si>
  <si>
    <t>Slot</t>
  </si>
  <si>
    <t>nsim</t>
  </si>
  <si>
    <t>proyears</t>
  </si>
  <si>
    <t>interval</t>
  </si>
  <si>
    <t>pstar</t>
  </si>
  <si>
    <t>maxF</t>
  </si>
  <si>
    <t>reps</t>
  </si>
  <si>
    <t>Defaults</t>
  </si>
  <si>
    <t>M2</t>
  </si>
  <si>
    <t>Mexp</t>
  </si>
  <si>
    <t>LenCV</t>
  </si>
  <si>
    <t>Column1</t>
  </si>
  <si>
    <t>Column2</t>
  </si>
  <si>
    <t>Btbiascv</t>
  </si>
  <si>
    <t>Ibiascv</t>
  </si>
  <si>
    <t>Dobs</t>
  </si>
  <si>
    <t>Btobs</t>
  </si>
  <si>
    <t>Mbiascv</t>
  </si>
  <si>
    <t>Kbiascv</t>
  </si>
  <si>
    <t>t0biascv</t>
  </si>
  <si>
    <t>Linfbiascv</t>
  </si>
  <si>
    <t>LFCbiascv</t>
  </si>
  <si>
    <t>LFSbiascv</t>
  </si>
  <si>
    <t>FMSYbiascv</t>
  </si>
  <si>
    <t>FMSY_Mbiascv</t>
  </si>
  <si>
    <t>BMSY_B0biascv</t>
  </si>
  <si>
    <t>Irefbiascv</t>
  </si>
  <si>
    <t>Crefbiascv</t>
  </si>
  <si>
    <t>Brefbiascv</t>
  </si>
  <si>
    <t>hbiascv</t>
  </si>
  <si>
    <t>Recbiascv</t>
  </si>
  <si>
    <t>TAESD</t>
  </si>
  <si>
    <t>TAEFrac</t>
  </si>
  <si>
    <t>LenMbiascv</t>
  </si>
  <si>
    <t>Column3</t>
  </si>
  <si>
    <t>Species</t>
  </si>
  <si>
    <t>Mmu</t>
  </si>
  <si>
    <t>SSB0</t>
  </si>
  <si>
    <t>Rec</t>
  </si>
  <si>
    <t>min</t>
  </si>
  <si>
    <t>Procsd</t>
  </si>
  <si>
    <t>max</t>
  </si>
  <si>
    <t>est</t>
  </si>
  <si>
    <t>obj</t>
  </si>
  <si>
    <t>SSB</t>
  </si>
  <si>
    <t>Frac</t>
  </si>
  <si>
    <t>Pred</t>
  </si>
  <si>
    <t>sqerr</t>
  </si>
  <si>
    <t>recdev</t>
  </si>
  <si>
    <t>ACF</t>
  </si>
  <si>
    <t>From Figure 51</t>
  </si>
  <si>
    <t>Age</t>
  </si>
  <si>
    <t>Length</t>
  </si>
  <si>
    <t>4X East</t>
  </si>
  <si>
    <t>4X West</t>
  </si>
  <si>
    <t>Upper bound</t>
  </si>
  <si>
    <t>Age at maturity</t>
  </si>
  <si>
    <t>Lower bound</t>
  </si>
  <si>
    <t>A50</t>
  </si>
  <si>
    <t>A50cv</t>
  </si>
  <si>
    <t>k</t>
  </si>
  <si>
    <t>N</t>
  </si>
  <si>
    <t>L</t>
  </si>
  <si>
    <t>W</t>
  </si>
  <si>
    <t>tonnes</t>
  </si>
  <si>
    <t>Agency</t>
  </si>
  <si>
    <t>Region</t>
  </si>
  <si>
    <t>Latitude</t>
  </si>
  <si>
    <t>Longitude</t>
  </si>
  <si>
    <t>from VPA cpars</t>
  </si>
  <si>
    <t>proportional to density</t>
  </si>
  <si>
    <t>very little</t>
  </si>
  <si>
    <t>moderate</t>
  </si>
  <si>
    <t>Size_area_1</t>
  </si>
  <si>
    <t>Common_Name</t>
  </si>
  <si>
    <t>DFO</t>
  </si>
  <si>
    <t>Updated in the build script</t>
  </si>
  <si>
    <t>No additional interannual variability</t>
  </si>
  <si>
    <t>Beverton-Holt S-R dynamics</t>
  </si>
  <si>
    <t>Updated in the MSE from maturity at age</t>
  </si>
  <si>
    <t>Fully mixed</t>
  </si>
  <si>
    <t>100% discard mortality</t>
  </si>
  <si>
    <t>Atlantic Herring</t>
  </si>
  <si>
    <t>From assessment</t>
  </si>
  <si>
    <t>Use mean recruitment</t>
  </si>
  <si>
    <t>Atlantic_Herring_SS_4T_DFO_Imp</t>
  </si>
  <si>
    <t>Atlantic_Herring_SS_4T_DFO_Obs</t>
  </si>
  <si>
    <t>Atlantic_Herring_SS_4T_DFO_Fleet</t>
  </si>
  <si>
    <t># 1978-2017</t>
  </si>
  <si>
    <t xml:space="preserve">Clupea harengus </t>
  </si>
  <si>
    <t>Spring Spawning Herring</t>
  </si>
  <si>
    <t>NAFO 4T (S. Gulf of St. Lawrence)</t>
  </si>
  <si>
    <t>Atlantic_Herring_SS_4T_DFO_Stock</t>
  </si>
  <si>
    <t>Wigley et al. (2003)</t>
  </si>
  <si>
    <t>Default value used.</t>
  </si>
  <si>
    <t>From build script</t>
  </si>
  <si>
    <t>"McDermid, J.L., Swain, D.P., Turcotte, F., Robichaud, S.A., and Surette, T. 2018. Assessment of the NAFO Division 4T southern Gulf of St. Lawrence Atlantic herring (Clupea harengus) in 2016 and 2017. DFO Can. Sci. Advis. Sec. Res. Doc. 2018/052. xiv + 122 p."</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</si>
</sst>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0"/>
      <color theme="1"/>
      <name val="Arial"/>
      <family val="2"/>
    </font>
    <font>
      <b/>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rgb="FFFF0000"/>
      <name val="Calibri"/>
      <family val="2"/>
      <scheme val="minor"/>
    </font>
    <font>
      <sz val="11"/>
      <color theme="4"/>
      <name val="Calibri"/>
      <family val="2"/>
      <scheme val="minor"/>
    </font>
    <font>
      <b/>
      <sz val="11"/>
      <color theme="4"/>
      <name val="Calibri"/>
      <family val="2"/>
      <scheme val="minor"/>
    </font>
    <font>
      <sz val="11"/>
      <color rgb="FF00B05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3" fillId="8" borderId="8" applyNumberFormat="0" applyFont="0" applyAlignment="0" applyProtection="0"/>
    <xf numFmtId="0" fontId="20" fillId="0" borderId="0" applyNumberFormat="0" applyFill="0" applyBorder="0" applyAlignment="0" applyProtection="0"/>
    <xf numFmtId="0" fontId="2" fillId="0" borderId="9" applyNumberFormat="0" applyFill="0" applyAlignment="0" applyProtection="0"/>
    <xf numFmtId="0" fontId="21"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cellStyleXfs>
  <cellXfs count="19">
    <xf numFmtId="0" fontId="0" fillId="0" borderId="0" xfId="0"/>
    <xf numFmtId="0" fontId="1" fillId="0" borderId="0" xfId="0" applyFont="1" applyAlignment="1">
      <alignment vertical="center"/>
    </xf>
    <xf numFmtId="4" fontId="0" fillId="0" borderId="0" xfId="0" applyNumberFormat="1"/>
    <xf numFmtId="0" fontId="2" fillId="0" borderId="0" xfId="0" applyFont="1"/>
    <xf numFmtId="0" fontId="4" fillId="0" borderId="0" xfId="0" applyFont="1"/>
    <xf numFmtId="1" fontId="4" fillId="0" borderId="0" xfId="1" applyNumberFormat="1" applyFont="1"/>
    <xf numFmtId="2" fontId="4" fillId="0" borderId="0" xfId="1" applyNumberFormat="1" applyFont="1"/>
    <xf numFmtId="0" fontId="5" fillId="0" borderId="0" xfId="0" applyFont="1"/>
    <xf numFmtId="0" fontId="6" fillId="0" borderId="0" xfId="0" applyFont="1"/>
    <xf numFmtId="0" fontId="0" fillId="0" borderId="0" xfId="0" applyFont="1"/>
    <xf numFmtId="0" fontId="0" fillId="0" borderId="0" xfId="0"/>
    <xf numFmtId="0" fontId="0" fillId="0" borderId="0" xfId="0"/>
    <xf numFmtId="0" fontId="19" fillId="0" borderId="0" xfId="0" applyFont="1"/>
    <xf numFmtId="0" fontId="22" fillId="0" borderId="0" xfId="0" applyFont="1"/>
    <xf numFmtId="0" fontId="23" fillId="0" borderId="0" xfId="0" applyFont="1"/>
    <xf numFmtId="0" fontId="24" fillId="0" borderId="0" xfId="0" applyFont="1"/>
    <xf numFmtId="0" fontId="25" fillId="0" borderId="0" xfId="0" applyFont="1"/>
    <xf numFmtId="1" fontId="0" fillId="0" borderId="0" xfId="0" applyNumberFormat="1"/>
    <xf numFmtId="11" fontId="0" fillId="0" borderId="0" xfId="0" applyNumberForma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1"/>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Stock</a:t>
            </a:r>
            <a:r>
              <a:rPr lang="en-US" sz="1200" baseline="0"/>
              <a:t> Recruitment  Model fit to VPA predictions (Figure 51 from 2008 assessment document)</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935870516185478"/>
          <c:y val="0.18253965116960125"/>
          <c:w val="0.83741907261592308"/>
          <c:h val="0.63857939594467328"/>
        </c:manualLayout>
      </c:layout>
      <c:scatterChart>
        <c:scatterStyle val="lineMarker"/>
        <c:varyColors val="0"/>
        <c:ser>
          <c:idx val="0"/>
          <c:order val="0"/>
          <c:tx>
            <c:strRef>
              <c:f>SR!$C$6</c:f>
              <c:strCache>
                <c:ptCount val="1"/>
                <c:pt idx="0">
                  <c:v>Rec</c:v>
                </c:pt>
              </c:strCache>
            </c:strRef>
          </c:tx>
          <c:spPr>
            <a:ln w="19050" cap="rnd">
              <a:noFill/>
              <a:round/>
            </a:ln>
            <a:effectLst/>
          </c:spPr>
          <c:marker>
            <c:symbol val="circle"/>
            <c:size val="5"/>
            <c:spPr>
              <a:solidFill>
                <a:schemeClr val="accent1"/>
              </a:solidFill>
              <a:ln w="9525">
                <a:solidFill>
                  <a:schemeClr val="accent1"/>
                </a:solidFill>
              </a:ln>
              <a:effectLst/>
            </c:spPr>
          </c:marker>
          <c:xVal>
            <c:numRef>
              <c:f>SR!$B$7:$B$35</c:f>
              <c:numCache>
                <c:formatCode>General</c:formatCode>
                <c:ptCount val="29"/>
                <c:pt idx="0">
                  <c:v>10.5400735882258</c:v>
                </c:pt>
                <c:pt idx="1">
                  <c:v>11.7897936330187</c:v>
                </c:pt>
                <c:pt idx="2">
                  <c:v>15.434810430331099</c:v>
                </c:pt>
                <c:pt idx="3">
                  <c:v>15.8513837785954</c:v>
                </c:pt>
                <c:pt idx="4">
                  <c:v>16.476243800991799</c:v>
                </c:pt>
                <c:pt idx="5">
                  <c:v>16.8928171492561</c:v>
                </c:pt>
                <c:pt idx="6">
                  <c:v>17.725963845784602</c:v>
                </c:pt>
                <c:pt idx="7">
                  <c:v>18.246680531114997</c:v>
                </c:pt>
                <c:pt idx="8">
                  <c:v>19.808830587106002</c:v>
                </c:pt>
                <c:pt idx="9">
                  <c:v>20.746120620700601</c:v>
                </c:pt>
                <c:pt idx="10">
                  <c:v>21.266837306031</c:v>
                </c:pt>
                <c:pt idx="11">
                  <c:v>28.348584226523702</c:v>
                </c:pt>
                <c:pt idx="12">
                  <c:v>32.8267477203647</c:v>
                </c:pt>
                <c:pt idx="13">
                  <c:v>33.659894416893202</c:v>
                </c:pt>
                <c:pt idx="14">
                  <c:v>35.534474484082502</c:v>
                </c:pt>
                <c:pt idx="15">
                  <c:v>39.075347944328904</c:v>
                </c:pt>
                <c:pt idx="16">
                  <c:v>39.700207966725301</c:v>
                </c:pt>
                <c:pt idx="17">
                  <c:v>40.012637977923497</c:v>
                </c:pt>
                <c:pt idx="18">
                  <c:v>42.720364741641298</c:v>
                </c:pt>
                <c:pt idx="19">
                  <c:v>43.761798112302003</c:v>
                </c:pt>
                <c:pt idx="20">
                  <c:v>48.760678291473297</c:v>
                </c:pt>
                <c:pt idx="21">
                  <c:v>53.342985122380398</c:v>
                </c:pt>
                <c:pt idx="22">
                  <c:v>61.882738761798102</c:v>
                </c:pt>
                <c:pt idx="23">
                  <c:v>61.882738761798102</c:v>
                </c:pt>
                <c:pt idx="24">
                  <c:v>65.527755559110503</c:v>
                </c:pt>
                <c:pt idx="25">
                  <c:v>70.005919052951498</c:v>
                </c:pt>
                <c:pt idx="26">
                  <c:v>71.672212446008601</c:v>
                </c:pt>
              </c:numCache>
            </c:numRef>
          </c:xVal>
          <c:yVal>
            <c:numRef>
              <c:f>SR!$C$7:$C$35</c:f>
              <c:numCache>
                <c:formatCode>General</c:formatCode>
                <c:ptCount val="29"/>
                <c:pt idx="0">
                  <c:v>6.9621871899459702</c:v>
                </c:pt>
                <c:pt idx="1">
                  <c:v>3.2661779296659601</c:v>
                </c:pt>
                <c:pt idx="2">
                  <c:v>8.9955903428508392</c:v>
                </c:pt>
                <c:pt idx="3">
                  <c:v>2.7279241538970198</c:v>
                </c:pt>
                <c:pt idx="4">
                  <c:v>8.7563664425090906</c:v>
                </c:pt>
                <c:pt idx="5">
                  <c:v>11.5552860765075</c:v>
                </c:pt>
                <c:pt idx="6">
                  <c:v>12.7753279682504</c:v>
                </c:pt>
                <c:pt idx="7">
                  <c:v>1.90260169771799</c:v>
                </c:pt>
                <c:pt idx="8">
                  <c:v>15.885238672693101</c:v>
                </c:pt>
                <c:pt idx="9">
                  <c:v>4.8091720868702401</c:v>
                </c:pt>
                <c:pt idx="10">
                  <c:v>6.7229632896042304</c:v>
                </c:pt>
                <c:pt idx="11">
                  <c:v>11.339984566199901</c:v>
                </c:pt>
                <c:pt idx="12">
                  <c:v>8.6666574798809304</c:v>
                </c:pt>
                <c:pt idx="13">
                  <c:v>30.304459265792001</c:v>
                </c:pt>
                <c:pt idx="14">
                  <c:v>6.9621871899459702</c:v>
                </c:pt>
                <c:pt idx="15">
                  <c:v>12.990629478558001</c:v>
                </c:pt>
                <c:pt idx="16">
                  <c:v>11.2682173960974</c:v>
                </c:pt>
                <c:pt idx="17">
                  <c:v>26.530702237900901</c:v>
                </c:pt>
                <c:pt idx="18">
                  <c:v>14.617352000881899</c:v>
                </c:pt>
                <c:pt idx="19">
                  <c:v>18.0143313857347</c:v>
                </c:pt>
                <c:pt idx="20">
                  <c:v>11.7945099768492</c:v>
                </c:pt>
                <c:pt idx="21">
                  <c:v>26.674236578106001</c:v>
                </c:pt>
                <c:pt idx="22">
                  <c:v>16.961746224231</c:v>
                </c:pt>
                <c:pt idx="23">
                  <c:v>9.11520229302171</c:v>
                </c:pt>
                <c:pt idx="24">
                  <c:v>25.4781170763973</c:v>
                </c:pt>
                <c:pt idx="25">
                  <c:v>13.516922059309801</c:v>
                </c:pt>
                <c:pt idx="26">
                  <c:v>13.6365340094807</c:v>
                </c:pt>
              </c:numCache>
            </c:numRef>
          </c:yVal>
          <c:smooth val="0"/>
          <c:extLst xmlns:c16r2="http://schemas.microsoft.com/office/drawing/2015/06/chart">
            <c:ext xmlns:c16="http://schemas.microsoft.com/office/drawing/2014/chart" uri="{C3380CC4-5D6E-409C-BE32-E72D297353CC}">
              <c16:uniqueId val="{00000000-FB81-4AF8-AA83-1F4BE6129CC4}"/>
            </c:ext>
          </c:extLst>
        </c:ser>
        <c:ser>
          <c:idx val="1"/>
          <c:order val="1"/>
          <c:tx>
            <c:v>fitting</c:v>
          </c:tx>
          <c:spPr>
            <a:ln w="25400" cap="rnd">
              <a:noFill/>
              <a:round/>
            </a:ln>
            <a:effectLst/>
          </c:spPr>
          <c:marker>
            <c:symbol val="circle"/>
            <c:size val="5"/>
            <c:spPr>
              <a:solidFill>
                <a:schemeClr val="accent2"/>
              </a:solidFill>
              <a:ln w="9525">
                <a:solidFill>
                  <a:schemeClr val="accent2"/>
                </a:solidFill>
              </a:ln>
              <a:effectLst/>
            </c:spPr>
          </c:marker>
          <c:xVal>
            <c:numRef>
              <c:f>SR!$B$7:$B$35</c:f>
              <c:numCache>
                <c:formatCode>General</c:formatCode>
                <c:ptCount val="29"/>
                <c:pt idx="0">
                  <c:v>10.5400735882258</c:v>
                </c:pt>
                <c:pt idx="1">
                  <c:v>11.7897936330187</c:v>
                </c:pt>
                <c:pt idx="2">
                  <c:v>15.434810430331099</c:v>
                </c:pt>
                <c:pt idx="3">
                  <c:v>15.8513837785954</c:v>
                </c:pt>
                <c:pt idx="4">
                  <c:v>16.476243800991799</c:v>
                </c:pt>
                <c:pt idx="5">
                  <c:v>16.8928171492561</c:v>
                </c:pt>
                <c:pt idx="6">
                  <c:v>17.725963845784602</c:v>
                </c:pt>
                <c:pt idx="7">
                  <c:v>18.246680531114997</c:v>
                </c:pt>
                <c:pt idx="8">
                  <c:v>19.808830587106002</c:v>
                </c:pt>
                <c:pt idx="9">
                  <c:v>20.746120620700601</c:v>
                </c:pt>
                <c:pt idx="10">
                  <c:v>21.266837306031</c:v>
                </c:pt>
                <c:pt idx="11">
                  <c:v>28.348584226523702</c:v>
                </c:pt>
                <c:pt idx="12">
                  <c:v>32.8267477203647</c:v>
                </c:pt>
                <c:pt idx="13">
                  <c:v>33.659894416893202</c:v>
                </c:pt>
                <c:pt idx="14">
                  <c:v>35.534474484082502</c:v>
                </c:pt>
                <c:pt idx="15">
                  <c:v>39.075347944328904</c:v>
                </c:pt>
                <c:pt idx="16">
                  <c:v>39.700207966725301</c:v>
                </c:pt>
                <c:pt idx="17">
                  <c:v>40.012637977923497</c:v>
                </c:pt>
                <c:pt idx="18">
                  <c:v>42.720364741641298</c:v>
                </c:pt>
                <c:pt idx="19">
                  <c:v>43.761798112302003</c:v>
                </c:pt>
                <c:pt idx="20">
                  <c:v>48.760678291473297</c:v>
                </c:pt>
                <c:pt idx="21">
                  <c:v>53.342985122380398</c:v>
                </c:pt>
                <c:pt idx="22">
                  <c:v>61.882738761798102</c:v>
                </c:pt>
                <c:pt idx="23">
                  <c:v>61.882738761798102</c:v>
                </c:pt>
                <c:pt idx="24">
                  <c:v>65.527755559110503</c:v>
                </c:pt>
                <c:pt idx="25">
                  <c:v>70.005919052951498</c:v>
                </c:pt>
                <c:pt idx="26">
                  <c:v>71.672212446008601</c:v>
                </c:pt>
              </c:numCache>
            </c:numRef>
          </c:xVal>
          <c:yVal>
            <c:numRef>
              <c:f>SR!$E$7:$E$35</c:f>
              <c:numCache>
                <c:formatCode>General</c:formatCode>
                <c:ptCount val="29"/>
                <c:pt idx="0">
                  <c:v>4.6419389418416248</c:v>
                </c:pt>
                <c:pt idx="1">
                  <c:v>5.116394772526152</c:v>
                </c:pt>
                <c:pt idx="2">
                  <c:v>6.4242056340599323</c:v>
                </c:pt>
                <c:pt idx="3">
                  <c:v>6.5668883929475212</c:v>
                </c:pt>
                <c:pt idx="4">
                  <c:v>6.7784399200206202</c:v>
                </c:pt>
                <c:pt idx="5">
                  <c:v>6.9178524028250035</c:v>
                </c:pt>
                <c:pt idx="6">
                  <c:v>7.1928647224602855</c:v>
                </c:pt>
                <c:pt idx="7">
                  <c:v>7.3622156669220162</c:v>
                </c:pt>
                <c:pt idx="8">
                  <c:v>7.8589479902733457</c:v>
                </c:pt>
                <c:pt idx="9">
                  <c:v>8.1490973468403798</c:v>
                </c:pt>
                <c:pt idx="10">
                  <c:v>8.3078158214905908</c:v>
                </c:pt>
                <c:pt idx="11">
                  <c:v>10.305526506650647</c:v>
                </c:pt>
                <c:pt idx="12">
                  <c:v>11.431659281997321</c:v>
                </c:pt>
                <c:pt idx="13">
                  <c:v>11.630804240505903</c:v>
                </c:pt>
                <c:pt idx="14">
                  <c:v>12.067770146452897</c:v>
                </c:pt>
                <c:pt idx="15">
                  <c:v>12.853504358026692</c:v>
                </c:pt>
                <c:pt idx="16">
                  <c:v>12.987068293300991</c:v>
                </c:pt>
                <c:pt idx="17">
                  <c:v>13.053299648032082</c:v>
                </c:pt>
                <c:pt idx="18">
                  <c:v>13.612409899618532</c:v>
                </c:pt>
                <c:pt idx="19">
                  <c:v>13.820586688649731</c:v>
                </c:pt>
                <c:pt idx="20">
                  <c:v>14.77053497540887</c:v>
                </c:pt>
                <c:pt idx="21">
                  <c:v>15.575632434678527</c:v>
                </c:pt>
                <c:pt idx="22">
                  <c:v>16.930793554193905</c:v>
                </c:pt>
                <c:pt idx="23">
                  <c:v>16.930793554193905</c:v>
                </c:pt>
                <c:pt idx="24">
                  <c:v>17.458582684616655</c:v>
                </c:pt>
                <c:pt idx="25">
                  <c:v>18.070347955237384</c:v>
                </c:pt>
                <c:pt idx="26">
                  <c:v>18.288358027577868</c:v>
                </c:pt>
              </c:numCache>
            </c:numRef>
          </c:yVal>
          <c:smooth val="0"/>
          <c:extLst xmlns:c16r2="http://schemas.microsoft.com/office/drawing/2015/06/chart">
            <c:ext xmlns:c16="http://schemas.microsoft.com/office/drawing/2014/chart" uri="{C3380CC4-5D6E-409C-BE32-E72D297353CC}">
              <c16:uniqueId val="{00000001-FB81-4AF8-AA83-1F4BE6129CC4}"/>
            </c:ext>
          </c:extLst>
        </c:ser>
        <c:dLbls>
          <c:showLegendKey val="0"/>
          <c:showVal val="0"/>
          <c:showCatName val="0"/>
          <c:showSerName val="0"/>
          <c:showPercent val="0"/>
          <c:showBubbleSize val="0"/>
        </c:dLbls>
        <c:axId val="589368800"/>
        <c:axId val="589369976"/>
      </c:scatterChart>
      <c:valAx>
        <c:axId val="5893688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a:t>
                </a:r>
                <a:r>
                  <a:rPr lang="en-US" baseline="0"/>
                  <a:t> 4+ biomass</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69976"/>
        <c:crosses val="autoZero"/>
        <c:crossBetween val="midCat"/>
      </c:valAx>
      <c:valAx>
        <c:axId val="589369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a:t>
                </a:r>
                <a:r>
                  <a:rPr lang="en-US" baseline="0"/>
                  <a:t> 1 abundance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68800"/>
        <c:crosses val="autoZero"/>
        <c:crossBetween val="midCat"/>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Fitted Growth Curves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702537182852144"/>
          <c:y val="0.17171296296296296"/>
          <c:w val="0.74911286089238838"/>
          <c:h val="0.72088764946048411"/>
        </c:manualLayout>
      </c:layout>
      <c:scatterChart>
        <c:scatterStyle val="lineMarker"/>
        <c:varyColors val="0"/>
        <c:ser>
          <c:idx val="0"/>
          <c:order val="0"/>
          <c:tx>
            <c:v>West Observed</c:v>
          </c:tx>
          <c:spPr>
            <a:ln w="19050" cap="rnd">
              <a:noFill/>
              <a:round/>
            </a:ln>
            <a:effectLst/>
          </c:spPr>
          <c:marker>
            <c:symbol val="circle"/>
            <c:size val="5"/>
            <c:spPr>
              <a:solidFill>
                <a:schemeClr val="accent1"/>
              </a:solidFill>
              <a:ln w="9525">
                <a:solidFill>
                  <a:schemeClr val="accent1"/>
                </a:solidFill>
              </a:ln>
              <a:effectLst/>
            </c:spPr>
          </c:marker>
          <c:xVal>
            <c:numRef>
              <c:f>Growth!$A$3:$A$10</c:f>
              <c:numCache>
                <c:formatCode>General</c:formatCode>
                <c:ptCount val="8"/>
                <c:pt idx="0">
                  <c:v>0.96111111111111103</c:v>
                </c:pt>
                <c:pt idx="1">
                  <c:v>1.9722222222222201</c:v>
                </c:pt>
                <c:pt idx="2">
                  <c:v>2.9638888888888801</c:v>
                </c:pt>
                <c:pt idx="3">
                  <c:v>3.9555555555555499</c:v>
                </c:pt>
                <c:pt idx="4">
                  <c:v>4.9666666666666597</c:v>
                </c:pt>
                <c:pt idx="5">
                  <c:v>5.9388888888888802</c:v>
                </c:pt>
                <c:pt idx="6">
                  <c:v>6.9694444444444397</c:v>
                </c:pt>
                <c:pt idx="7">
                  <c:v>7.9611111111111104</c:v>
                </c:pt>
              </c:numCache>
            </c:numRef>
          </c:xVal>
          <c:yVal>
            <c:numRef>
              <c:f>Growth!$B$3:$B$10</c:f>
              <c:numCache>
                <c:formatCode>General</c:formatCode>
                <c:ptCount val="8"/>
                <c:pt idx="0">
                  <c:v>24.676470588235201</c:v>
                </c:pt>
                <c:pt idx="1">
                  <c:v>42.259803921568597</c:v>
                </c:pt>
                <c:pt idx="2">
                  <c:v>55.873774509803901</c:v>
                </c:pt>
                <c:pt idx="3">
                  <c:v>69.046568627450895</c:v>
                </c:pt>
                <c:pt idx="4">
                  <c:v>79.129901960784295</c:v>
                </c:pt>
                <c:pt idx="5">
                  <c:v>87.450980392156794</c:v>
                </c:pt>
                <c:pt idx="6">
                  <c:v>93.5625</c:v>
                </c:pt>
                <c:pt idx="7">
                  <c:v>100.117647058823</c:v>
                </c:pt>
              </c:numCache>
            </c:numRef>
          </c:yVal>
          <c:smooth val="0"/>
          <c:extLst xmlns:c16r2="http://schemas.microsoft.com/office/drawing/2015/06/chart">
            <c:ext xmlns:c16="http://schemas.microsoft.com/office/drawing/2014/chart" uri="{C3380CC4-5D6E-409C-BE32-E72D297353CC}">
              <c16:uniqueId val="{00000000-EAF2-409C-87C6-9D136B3D3628}"/>
            </c:ext>
          </c:extLst>
        </c:ser>
        <c:ser>
          <c:idx val="1"/>
          <c:order val="1"/>
          <c:tx>
            <c:v>West predicted</c:v>
          </c:tx>
          <c:spPr>
            <a:ln w="25400" cap="rnd">
              <a:solidFill>
                <a:schemeClr val="accent1">
                  <a:alpha val="50000"/>
                </a:schemeClr>
              </a:solidFill>
              <a:round/>
            </a:ln>
            <a:effectLst/>
          </c:spPr>
          <c:marker>
            <c:symbol val="circle"/>
            <c:size val="5"/>
            <c:spPr>
              <a:noFill/>
              <a:ln w="9525">
                <a:noFill/>
              </a:ln>
              <a:effectLst/>
            </c:spPr>
          </c:marker>
          <c:xVal>
            <c:numRef>
              <c:f>Growth!$A$3:$A$10</c:f>
              <c:numCache>
                <c:formatCode>General</c:formatCode>
                <c:ptCount val="8"/>
                <c:pt idx="0">
                  <c:v>0.96111111111111103</c:v>
                </c:pt>
                <c:pt idx="1">
                  <c:v>1.9722222222222201</c:v>
                </c:pt>
                <c:pt idx="2">
                  <c:v>2.9638888888888801</c:v>
                </c:pt>
                <c:pt idx="3">
                  <c:v>3.9555555555555499</c:v>
                </c:pt>
                <c:pt idx="4">
                  <c:v>4.9666666666666597</c:v>
                </c:pt>
                <c:pt idx="5">
                  <c:v>5.9388888888888802</c:v>
                </c:pt>
                <c:pt idx="6">
                  <c:v>6.9694444444444397</c:v>
                </c:pt>
                <c:pt idx="7">
                  <c:v>7.9611111111111104</c:v>
                </c:pt>
              </c:numCache>
            </c:numRef>
          </c:xVal>
          <c:yVal>
            <c:numRef>
              <c:f>Growth!$C$3:$C$10</c:f>
              <c:numCache>
                <c:formatCode>General</c:formatCode>
                <c:ptCount val="8"/>
                <c:pt idx="0">
                  <c:v>23.489070717607969</c:v>
                </c:pt>
                <c:pt idx="1">
                  <c:v>43.049356867448047</c:v>
                </c:pt>
                <c:pt idx="2">
                  <c:v>58.174927743664995</c:v>
                </c:pt>
                <c:pt idx="3">
                  <c:v>70.129196109208181</c:v>
                </c:pt>
                <c:pt idx="4">
                  <c:v>79.741006193649937</c:v>
                </c:pt>
                <c:pt idx="5">
                  <c:v>87.044061046973894</c:v>
                </c:pt>
                <c:pt idx="6">
                  <c:v>93.149806770827823</c:v>
                </c:pt>
                <c:pt idx="7">
                  <c:v>97.771067835221217</c:v>
                </c:pt>
              </c:numCache>
            </c:numRef>
          </c:yVal>
          <c:smooth val="0"/>
          <c:extLst xmlns:c16r2="http://schemas.microsoft.com/office/drawing/2015/06/chart">
            <c:ext xmlns:c16="http://schemas.microsoft.com/office/drawing/2014/chart" uri="{C3380CC4-5D6E-409C-BE32-E72D297353CC}">
              <c16:uniqueId val="{00000001-EAF2-409C-87C6-9D136B3D3628}"/>
            </c:ext>
          </c:extLst>
        </c:ser>
        <c:ser>
          <c:idx val="2"/>
          <c:order val="2"/>
          <c:tx>
            <c:v>East Observed</c:v>
          </c:tx>
          <c:spPr>
            <a:ln w="25400" cap="rnd">
              <a:noFill/>
              <a:round/>
            </a:ln>
            <a:effectLst/>
          </c:spPr>
          <c:marker>
            <c:symbol val="circle"/>
            <c:size val="5"/>
            <c:spPr>
              <a:solidFill>
                <a:srgbClr val="FF0000"/>
              </a:solidFill>
              <a:ln w="9525">
                <a:solidFill>
                  <a:srgbClr val="FF0000"/>
                </a:solidFill>
              </a:ln>
              <a:effectLst/>
            </c:spPr>
          </c:marker>
          <c:xVal>
            <c:numRef>
              <c:f>Growth!$A$14:$A$21</c:f>
              <c:numCache>
                <c:formatCode>General</c:formatCode>
                <c:ptCount val="8"/>
                <c:pt idx="0">
                  <c:v>0.96111111111111103</c:v>
                </c:pt>
                <c:pt idx="1">
                  <c:v>1.9722222222222201</c:v>
                </c:pt>
                <c:pt idx="2">
                  <c:v>2.9444444444444402</c:v>
                </c:pt>
                <c:pt idx="3">
                  <c:v>3.9749999999999899</c:v>
                </c:pt>
                <c:pt idx="4">
                  <c:v>4.9472222222222202</c:v>
                </c:pt>
                <c:pt idx="5">
                  <c:v>5.9777777777777699</c:v>
                </c:pt>
                <c:pt idx="6">
                  <c:v>6.9499999999999904</c:v>
                </c:pt>
                <c:pt idx="7">
                  <c:v>8</c:v>
                </c:pt>
              </c:numCache>
            </c:numRef>
          </c:xVal>
          <c:yVal>
            <c:numRef>
              <c:f>Growth!$B$14:$B$21</c:f>
              <c:numCache>
                <c:formatCode>General</c:formatCode>
                <c:ptCount val="8"/>
                <c:pt idx="0">
                  <c:v>21.147058823529399</c:v>
                </c:pt>
                <c:pt idx="1">
                  <c:v>34.318627450980301</c:v>
                </c:pt>
                <c:pt idx="2">
                  <c:v>47.492647058823501</c:v>
                </c:pt>
                <c:pt idx="3">
                  <c:v>57.574754901960702</c:v>
                </c:pt>
                <c:pt idx="4">
                  <c:v>66.778186274509807</c:v>
                </c:pt>
                <c:pt idx="5">
                  <c:v>75.536764705882305</c:v>
                </c:pt>
                <c:pt idx="6">
                  <c:v>82.975490196078397</c:v>
                </c:pt>
                <c:pt idx="7">
                  <c:v>92.615196078431296</c:v>
                </c:pt>
              </c:numCache>
            </c:numRef>
          </c:yVal>
          <c:smooth val="0"/>
          <c:extLst xmlns:c16r2="http://schemas.microsoft.com/office/drawing/2015/06/chart">
            <c:ext xmlns:c16="http://schemas.microsoft.com/office/drawing/2014/chart" uri="{C3380CC4-5D6E-409C-BE32-E72D297353CC}">
              <c16:uniqueId val="{00000002-EAF2-409C-87C6-9D136B3D3628}"/>
            </c:ext>
          </c:extLst>
        </c:ser>
        <c:ser>
          <c:idx val="3"/>
          <c:order val="3"/>
          <c:tx>
            <c:v>East Predicted</c:v>
          </c:tx>
          <c:spPr>
            <a:ln w="25400" cap="rnd">
              <a:solidFill>
                <a:srgbClr val="FF0000">
                  <a:alpha val="66000"/>
                </a:srgbClr>
              </a:solidFill>
              <a:round/>
            </a:ln>
            <a:effectLst/>
          </c:spPr>
          <c:marker>
            <c:symbol val="circle"/>
            <c:size val="5"/>
            <c:spPr>
              <a:noFill/>
              <a:ln w="9525">
                <a:noFill/>
              </a:ln>
              <a:effectLst/>
            </c:spPr>
          </c:marker>
          <c:xVal>
            <c:numRef>
              <c:f>Growth!$A$14:$A$21</c:f>
              <c:numCache>
                <c:formatCode>General</c:formatCode>
                <c:ptCount val="8"/>
                <c:pt idx="0">
                  <c:v>0.96111111111111103</c:v>
                </c:pt>
                <c:pt idx="1">
                  <c:v>1.9722222222222201</c:v>
                </c:pt>
                <c:pt idx="2">
                  <c:v>2.9444444444444402</c:v>
                </c:pt>
                <c:pt idx="3">
                  <c:v>3.9749999999999899</c:v>
                </c:pt>
                <c:pt idx="4">
                  <c:v>4.9472222222222202</c:v>
                </c:pt>
                <c:pt idx="5">
                  <c:v>5.9777777777777699</c:v>
                </c:pt>
                <c:pt idx="6">
                  <c:v>6.9499999999999904</c:v>
                </c:pt>
                <c:pt idx="7">
                  <c:v>8</c:v>
                </c:pt>
              </c:numCache>
            </c:numRef>
          </c:xVal>
          <c:yVal>
            <c:numRef>
              <c:f>Growth!$C$14:$C$21</c:f>
              <c:numCache>
                <c:formatCode>General</c:formatCode>
                <c:ptCount val="8"/>
                <c:pt idx="0">
                  <c:v>19.301075563610524</c:v>
                </c:pt>
                <c:pt idx="1">
                  <c:v>35.906920698609206</c:v>
                </c:pt>
                <c:pt idx="2">
                  <c:v>48.946299561790184</c:v>
                </c:pt>
                <c:pt idx="3">
                  <c:v>60.215063617948559</c:v>
                </c:pt>
                <c:pt idx="4">
                  <c:v>68.878852886111545</c:v>
                </c:pt>
                <c:pt idx="5">
                  <c:v>76.366187836619133</c:v>
                </c:pt>
                <c:pt idx="6">
                  <c:v>82.122692442454564</c:v>
                </c:pt>
                <c:pt idx="7">
                  <c:v>87.181692922285322</c:v>
                </c:pt>
              </c:numCache>
            </c:numRef>
          </c:yVal>
          <c:smooth val="0"/>
          <c:extLst xmlns:c16r2="http://schemas.microsoft.com/office/drawing/2015/06/chart">
            <c:ext xmlns:c16="http://schemas.microsoft.com/office/drawing/2014/chart" uri="{C3380CC4-5D6E-409C-BE32-E72D297353CC}">
              <c16:uniqueId val="{00000003-EAF2-409C-87C6-9D136B3D3628}"/>
            </c:ext>
          </c:extLst>
        </c:ser>
        <c:dLbls>
          <c:showLegendKey val="0"/>
          <c:showVal val="0"/>
          <c:showCatName val="0"/>
          <c:showSerName val="0"/>
          <c:showPercent val="0"/>
          <c:showBubbleSize val="0"/>
        </c:dLbls>
        <c:axId val="589364096"/>
        <c:axId val="589367232"/>
      </c:scatterChart>
      <c:valAx>
        <c:axId val="5893640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67232"/>
        <c:crosses val="autoZero"/>
        <c:crossBetween val="midCat"/>
      </c:valAx>
      <c:valAx>
        <c:axId val="58936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Length (cm)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364096"/>
        <c:crosses val="autoZero"/>
        <c:crossBetween val="midCat"/>
      </c:valAx>
      <c:spPr>
        <a:noFill/>
        <a:ln>
          <a:noFill/>
        </a:ln>
        <a:effectLst/>
      </c:spPr>
    </c:plotArea>
    <c:legend>
      <c:legendPos val="r"/>
      <c:layout>
        <c:manualLayout>
          <c:xMode val="edge"/>
          <c:yMode val="edge"/>
          <c:x val="0.71880489938757652"/>
          <c:y val="0.51525335374744818"/>
          <c:w val="0.23952843394575679"/>
          <c:h val="0.31250218722659673"/>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533400</xdr:colOff>
      <xdr:row>11</xdr:row>
      <xdr:rowOff>53008</xdr:rowOff>
    </xdr:from>
    <xdr:to>
      <xdr:col>15</xdr:col>
      <xdr:colOff>228600</xdr:colOff>
      <xdr:row>27</xdr:row>
      <xdr:rowOff>53340</xdr:rowOff>
    </xdr:to>
    <xdr:graphicFrame macro="">
      <xdr:nvGraphicFramePr>
        <xdr:cNvPr id="2" name="Chart 1">
          <a:extLst>
            <a:ext uri="{FF2B5EF4-FFF2-40B4-BE49-F238E27FC236}">
              <a16:creationId xmlns:a16="http://schemas.microsoft.com/office/drawing/2014/main" xmlns="" id="{19D91604-EE0D-4752-8362-D330C19CBD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598170</xdr:colOff>
      <xdr:row>8</xdr:row>
      <xdr:rowOff>57150</xdr:rowOff>
    </xdr:from>
    <xdr:to>
      <xdr:col>17</xdr:col>
      <xdr:colOff>293370</xdr:colOff>
      <xdr:row>23</xdr:row>
      <xdr:rowOff>57150</xdr:rowOff>
    </xdr:to>
    <xdr:graphicFrame macro="">
      <xdr:nvGraphicFramePr>
        <xdr:cNvPr id="2" name="Chart 1">
          <a:extLst>
            <a:ext uri="{FF2B5EF4-FFF2-40B4-BE49-F238E27FC236}">
              <a16:creationId xmlns:a16="http://schemas.microsoft.com/office/drawing/2014/main" xmlns="" id="{8005A002-2F6D-48BA-94C7-03CB304059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3" displayName="Table3" ref="A1:D35" totalsRowShown="0">
  <tableColumns count="4">
    <tableColumn id="1" name="Slot"/>
    <tableColumn id="2" name="Column1"/>
    <tableColumn id="3" name="Column2"/>
    <tableColumn id="4" name="Column3"/>
  </tableColumns>
  <tableStyleInfo name="none" showFirstColumn="1"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abSelected="1" workbookViewId="0">
      <selection activeCell="B36" sqref="B36"/>
    </sheetView>
  </sheetViews>
  <sheetFormatPr defaultRowHeight="15" x14ac:dyDescent="0.25"/>
  <cols>
    <col min="1" max="1" width="16.28515625" customWidth="1"/>
    <col min="2" max="3" width="10.28515625" customWidth="1"/>
    <col min="4" max="4" width="53" customWidth="1"/>
    <col min="5" max="5" width="76" bestFit="1" customWidth="1"/>
  </cols>
  <sheetData>
    <row r="1" spans="1:6" x14ac:dyDescent="0.25">
      <c r="A1" t="s">
        <v>66</v>
      </c>
      <c r="B1" t="s">
        <v>77</v>
      </c>
      <c r="C1" t="s">
        <v>78</v>
      </c>
      <c r="D1" t="s">
        <v>100</v>
      </c>
      <c r="E1" s="3"/>
      <c r="F1" s="3"/>
    </row>
    <row r="2" spans="1:6" x14ac:dyDescent="0.25">
      <c r="A2" t="s">
        <v>0</v>
      </c>
      <c r="B2" s="9" t="s">
        <v>158</v>
      </c>
    </row>
    <row r="3" spans="1:6" s="11" customFormat="1" x14ac:dyDescent="0.25">
      <c r="A3" s="11" t="s">
        <v>140</v>
      </c>
      <c r="B3" s="11" t="s">
        <v>148</v>
      </c>
    </row>
    <row r="4" spans="1:6" x14ac:dyDescent="0.25">
      <c r="A4" t="s">
        <v>101</v>
      </c>
      <c r="B4" t="s">
        <v>155</v>
      </c>
    </row>
    <row r="5" spans="1:6" x14ac:dyDescent="0.25">
      <c r="A5" t="s">
        <v>1</v>
      </c>
      <c r="B5">
        <v>20</v>
      </c>
    </row>
    <row r="6" spans="1:6" x14ac:dyDescent="0.25">
      <c r="A6" t="s">
        <v>2</v>
      </c>
      <c r="B6">
        <v>63804.38</v>
      </c>
      <c r="D6" t="s">
        <v>161</v>
      </c>
    </row>
    <row r="7" spans="1:6" x14ac:dyDescent="0.25">
      <c r="A7" t="s">
        <v>3</v>
      </c>
      <c r="B7">
        <v>0.2</v>
      </c>
      <c r="C7">
        <v>0.2</v>
      </c>
      <c r="D7" t="s">
        <v>149</v>
      </c>
    </row>
    <row r="8" spans="1:6" x14ac:dyDescent="0.25">
      <c r="A8" t="s">
        <v>74</v>
      </c>
    </row>
    <row r="9" spans="1:6" x14ac:dyDescent="0.25">
      <c r="A9" t="s">
        <v>75</v>
      </c>
    </row>
    <row r="10" spans="1:6" x14ac:dyDescent="0.25">
      <c r="A10" t="s">
        <v>4</v>
      </c>
      <c r="B10">
        <v>0</v>
      </c>
      <c r="C10">
        <v>0</v>
      </c>
      <c r="D10" t="s">
        <v>143</v>
      </c>
    </row>
    <row r="11" spans="1:6" x14ac:dyDescent="0.25">
      <c r="A11" t="s">
        <v>5</v>
      </c>
      <c r="B11">
        <v>0</v>
      </c>
      <c r="C11">
        <v>0</v>
      </c>
      <c r="D11" s="11" t="s">
        <v>143</v>
      </c>
    </row>
    <row r="12" spans="1:6" x14ac:dyDescent="0.25">
      <c r="A12" t="s">
        <v>6</v>
      </c>
      <c r="B12">
        <v>0.99999990000000005</v>
      </c>
      <c r="C12" s="11">
        <v>0.99999990000000005</v>
      </c>
      <c r="D12" t="s">
        <v>150</v>
      </c>
    </row>
    <row r="13" spans="1:6" x14ac:dyDescent="0.25">
      <c r="A13" t="s">
        <v>7</v>
      </c>
      <c r="B13">
        <v>1</v>
      </c>
      <c r="D13" t="s">
        <v>144</v>
      </c>
    </row>
    <row r="14" spans="1:6" x14ac:dyDescent="0.25">
      <c r="A14" t="s">
        <v>21</v>
      </c>
      <c r="B14">
        <v>0.59</v>
      </c>
      <c r="C14">
        <v>0.59</v>
      </c>
      <c r="D14" s="11" t="s">
        <v>161</v>
      </c>
    </row>
    <row r="15" spans="1:6" x14ac:dyDescent="0.25">
      <c r="A15" t="s">
        <v>15</v>
      </c>
      <c r="B15">
        <v>0.24</v>
      </c>
      <c r="C15">
        <v>0.59</v>
      </c>
      <c r="D15" s="11" t="s">
        <v>161</v>
      </c>
    </row>
    <row r="16" spans="1:6" x14ac:dyDescent="0.25">
      <c r="A16" t="s">
        <v>57</v>
      </c>
    </row>
    <row r="17" spans="1:6" x14ac:dyDescent="0.25">
      <c r="A17" t="s">
        <v>58</v>
      </c>
    </row>
    <row r="18" spans="1:6" x14ac:dyDescent="0.25">
      <c r="A18" t="s">
        <v>8</v>
      </c>
      <c r="B18">
        <v>33</v>
      </c>
      <c r="C18">
        <v>33</v>
      </c>
      <c r="D18" s="11" t="s">
        <v>161</v>
      </c>
    </row>
    <row r="19" spans="1:6" x14ac:dyDescent="0.25">
      <c r="A19" t="s">
        <v>11</v>
      </c>
      <c r="B19">
        <v>0.26</v>
      </c>
      <c r="C19">
        <v>0.26</v>
      </c>
      <c r="D19" s="11" t="s">
        <v>161</v>
      </c>
    </row>
    <row r="20" spans="1:6" x14ac:dyDescent="0.25">
      <c r="A20" t="s">
        <v>14</v>
      </c>
      <c r="B20">
        <v>-2.6</v>
      </c>
      <c r="C20" s="11">
        <v>-2.6</v>
      </c>
      <c r="D20" s="11" t="s">
        <v>161</v>
      </c>
    </row>
    <row r="21" spans="1:6" x14ac:dyDescent="0.25">
      <c r="A21" t="s">
        <v>76</v>
      </c>
      <c r="B21">
        <v>0.1</v>
      </c>
      <c r="C21">
        <v>0.1</v>
      </c>
      <c r="D21" t="s">
        <v>160</v>
      </c>
      <c r="F21" s="1"/>
    </row>
    <row r="22" spans="1:6" x14ac:dyDescent="0.25">
      <c r="A22" t="s">
        <v>12</v>
      </c>
      <c r="B22">
        <v>0</v>
      </c>
      <c r="C22">
        <v>0</v>
      </c>
      <c r="D22" t="s">
        <v>143</v>
      </c>
    </row>
    <row r="23" spans="1:6" x14ac:dyDescent="0.25">
      <c r="A23" t="s">
        <v>13</v>
      </c>
      <c r="B23">
        <v>0</v>
      </c>
      <c r="C23">
        <v>0</v>
      </c>
      <c r="D23" s="11" t="s">
        <v>143</v>
      </c>
    </row>
    <row r="24" spans="1:6" x14ac:dyDescent="0.25">
      <c r="A24" t="s">
        <v>9</v>
      </c>
      <c r="B24">
        <v>0</v>
      </c>
      <c r="C24">
        <v>0</v>
      </c>
      <c r="D24" s="11" t="s">
        <v>143</v>
      </c>
    </row>
    <row r="25" spans="1:6" x14ac:dyDescent="0.25">
      <c r="A25" t="s">
        <v>10</v>
      </c>
      <c r="B25">
        <v>0</v>
      </c>
      <c r="C25" s="2">
        <v>0</v>
      </c>
      <c r="D25" s="11" t="s">
        <v>143</v>
      </c>
    </row>
    <row r="26" spans="1:6" x14ac:dyDescent="0.25">
      <c r="A26" t="s">
        <v>18</v>
      </c>
      <c r="B26">
        <v>26.4</v>
      </c>
      <c r="C26">
        <v>26.4</v>
      </c>
      <c r="D26" t="s">
        <v>145</v>
      </c>
    </row>
    <row r="27" spans="1:6" x14ac:dyDescent="0.25">
      <c r="A27" t="s">
        <v>19</v>
      </c>
      <c r="B27">
        <v>0.57905070000000003</v>
      </c>
      <c r="C27" s="11">
        <v>0.57905070000000003</v>
      </c>
      <c r="D27" s="11" t="s">
        <v>145</v>
      </c>
    </row>
    <row r="28" spans="1:6" x14ac:dyDescent="0.25">
      <c r="A28" t="s">
        <v>20</v>
      </c>
      <c r="B28">
        <v>0.2901183</v>
      </c>
      <c r="C28" s="11">
        <v>0.2901183</v>
      </c>
      <c r="D28" t="s">
        <v>142</v>
      </c>
    </row>
    <row r="29" spans="1:6" x14ac:dyDescent="0.25">
      <c r="A29" t="s">
        <v>16</v>
      </c>
      <c r="B29" s="18">
        <v>7.5000000000000002E-6</v>
      </c>
      <c r="D29" t="s">
        <v>159</v>
      </c>
    </row>
    <row r="30" spans="1:6" x14ac:dyDescent="0.25">
      <c r="A30" t="s">
        <v>17</v>
      </c>
      <c r="B30">
        <v>3.0314000000000001</v>
      </c>
      <c r="D30" s="11" t="s">
        <v>159</v>
      </c>
      <c r="E30" s="1"/>
    </row>
    <row r="31" spans="1:6" s="11" customFormat="1" x14ac:dyDescent="0.25">
      <c r="A31" s="11" t="s">
        <v>139</v>
      </c>
      <c r="B31" s="11">
        <v>0.5</v>
      </c>
      <c r="C31" s="11">
        <v>0.5</v>
      </c>
      <c r="D31" s="11" t="s">
        <v>146</v>
      </c>
      <c r="E31" s="1"/>
    </row>
    <row r="32" spans="1:6" x14ac:dyDescent="0.25">
      <c r="A32" t="s">
        <v>22</v>
      </c>
      <c r="B32">
        <v>0.5</v>
      </c>
      <c r="C32">
        <v>0.5</v>
      </c>
      <c r="D32" s="11" t="s">
        <v>146</v>
      </c>
      <c r="E32" s="1"/>
    </row>
    <row r="33" spans="1:5" x14ac:dyDescent="0.25">
      <c r="A33" t="s">
        <v>23</v>
      </c>
      <c r="B33">
        <v>0.5</v>
      </c>
      <c r="C33">
        <v>0.5</v>
      </c>
      <c r="D33" s="11" t="s">
        <v>146</v>
      </c>
    </row>
    <row r="34" spans="1:5" x14ac:dyDescent="0.25">
      <c r="A34" t="s">
        <v>59</v>
      </c>
      <c r="B34">
        <v>1</v>
      </c>
      <c r="C34">
        <v>1</v>
      </c>
      <c r="D34" t="s">
        <v>147</v>
      </c>
    </row>
    <row r="35" spans="1:5" x14ac:dyDescent="0.25">
      <c r="A35" t="s">
        <v>56</v>
      </c>
      <c r="B35" t="s">
        <v>162</v>
      </c>
      <c r="E35" s="1"/>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7"/>
  <sheetViews>
    <sheetView workbookViewId="0">
      <selection activeCell="C11" sqref="C11"/>
    </sheetView>
  </sheetViews>
  <sheetFormatPr defaultColWidth="9" defaultRowHeight="15" x14ac:dyDescent="0.25"/>
  <cols>
    <col min="1" max="1" width="11.5703125" style="4" bestFit="1" customWidth="1"/>
    <col min="2" max="16384" width="9" style="4"/>
  </cols>
  <sheetData>
    <row r="1" spans="1:78" x14ac:dyDescent="0.25">
      <c r="A1" s="4" t="s">
        <v>66</v>
      </c>
    </row>
    <row r="2" spans="1:78" x14ac:dyDescent="0.25">
      <c r="A2" s="4" t="s">
        <v>0</v>
      </c>
      <c r="B2" s="9" t="s">
        <v>153</v>
      </c>
    </row>
    <row r="3" spans="1:78" x14ac:dyDescent="0.25">
      <c r="A3" s="4" t="s">
        <v>24</v>
      </c>
      <c r="B3" s="4">
        <v>40</v>
      </c>
      <c r="D3" s="9" t="s">
        <v>154</v>
      </c>
    </row>
    <row r="4" spans="1:78" x14ac:dyDescent="0.25">
      <c r="A4" s="4" t="s">
        <v>25</v>
      </c>
      <c r="B4" s="4">
        <v>1</v>
      </c>
      <c r="C4" s="4">
        <v>1</v>
      </c>
      <c r="D4" s="9" t="s">
        <v>136</v>
      </c>
    </row>
    <row r="5" spans="1:78" x14ac:dyDescent="0.25">
      <c r="A5" s="4" t="s">
        <v>39</v>
      </c>
      <c r="B5" s="4">
        <v>1978</v>
      </c>
      <c r="C5" s="4">
        <v>1979</v>
      </c>
      <c r="D5" s="4">
        <v>1980</v>
      </c>
      <c r="E5" s="4">
        <v>1981</v>
      </c>
      <c r="F5" s="4">
        <v>1982</v>
      </c>
      <c r="G5" s="4">
        <v>1983</v>
      </c>
      <c r="H5" s="4">
        <v>1984</v>
      </c>
      <c r="I5" s="4">
        <v>1985</v>
      </c>
      <c r="J5" s="4">
        <v>1986</v>
      </c>
      <c r="K5" s="4">
        <v>1987</v>
      </c>
      <c r="L5" s="4">
        <v>1988</v>
      </c>
      <c r="M5" s="4">
        <v>1989</v>
      </c>
      <c r="N5" s="4">
        <v>1990</v>
      </c>
      <c r="O5" s="4">
        <v>1991</v>
      </c>
      <c r="P5" s="4">
        <v>1992</v>
      </c>
      <c r="Q5" s="4">
        <v>1993</v>
      </c>
      <c r="R5" s="4">
        <v>1994</v>
      </c>
      <c r="S5" s="4">
        <v>1995</v>
      </c>
      <c r="T5" s="4">
        <v>1996</v>
      </c>
      <c r="U5" s="4">
        <v>1997</v>
      </c>
      <c r="V5" s="4">
        <v>1998</v>
      </c>
      <c r="W5" s="4">
        <v>1999</v>
      </c>
      <c r="X5" s="4">
        <v>2000</v>
      </c>
      <c r="Y5" s="4">
        <v>2001</v>
      </c>
      <c r="Z5" s="4">
        <v>2002</v>
      </c>
      <c r="AA5" s="4">
        <v>2003</v>
      </c>
      <c r="AB5" s="4">
        <v>2004</v>
      </c>
      <c r="AC5" s="4">
        <v>2005</v>
      </c>
      <c r="AD5" s="4">
        <v>2006</v>
      </c>
      <c r="AE5" s="4">
        <v>2007</v>
      </c>
      <c r="AF5" s="4">
        <v>2008</v>
      </c>
      <c r="AG5" s="4">
        <v>2009</v>
      </c>
      <c r="AH5" s="4">
        <v>2010</v>
      </c>
      <c r="AI5" s="4">
        <v>2011</v>
      </c>
      <c r="AJ5" s="4">
        <v>2012</v>
      </c>
      <c r="AK5" s="4">
        <v>2013</v>
      </c>
      <c r="AL5" s="4">
        <v>2014</v>
      </c>
      <c r="AM5" s="4">
        <v>2015</v>
      </c>
      <c r="AN5" s="4">
        <v>2016</v>
      </c>
      <c r="AO5" s="4">
        <v>2017</v>
      </c>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78" x14ac:dyDescent="0.25">
      <c r="A6" s="4" t="s">
        <v>40</v>
      </c>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x14ac:dyDescent="0.25">
      <c r="A7" s="4" t="s">
        <v>41</v>
      </c>
      <c r="B7" s="6">
        <v>1.01</v>
      </c>
      <c r="C7" s="6">
        <v>1.01</v>
      </c>
      <c r="D7" s="6">
        <v>1.01</v>
      </c>
      <c r="E7" s="6">
        <v>1.01</v>
      </c>
      <c r="F7" s="6">
        <v>1.01</v>
      </c>
      <c r="G7" s="6">
        <v>1.01</v>
      </c>
      <c r="H7" s="6">
        <v>1.01</v>
      </c>
      <c r="I7" s="6">
        <v>1.01</v>
      </c>
      <c r="J7" s="6">
        <v>1.01</v>
      </c>
      <c r="K7" s="6">
        <v>1.01</v>
      </c>
      <c r="L7" s="6">
        <v>1.01</v>
      </c>
      <c r="M7" s="6">
        <v>1.01</v>
      </c>
      <c r="N7" s="6">
        <v>1.01</v>
      </c>
      <c r="O7" s="6">
        <v>1.01</v>
      </c>
      <c r="P7" s="6">
        <v>1.01</v>
      </c>
      <c r="Q7" s="6">
        <v>1.01</v>
      </c>
      <c r="R7" s="6">
        <v>1.01</v>
      </c>
      <c r="S7" s="6">
        <v>1.01</v>
      </c>
      <c r="T7" s="6">
        <v>1.01</v>
      </c>
      <c r="U7" s="6">
        <v>1.01</v>
      </c>
      <c r="V7" s="6">
        <v>1.01</v>
      </c>
      <c r="W7" s="6">
        <v>1.01</v>
      </c>
      <c r="X7" s="6">
        <v>1.01</v>
      </c>
      <c r="Y7" s="6">
        <v>1.01</v>
      </c>
      <c r="Z7" s="6">
        <v>1.01</v>
      </c>
      <c r="AA7" s="6">
        <v>1.01</v>
      </c>
      <c r="AB7" s="6">
        <v>1.01</v>
      </c>
      <c r="AC7" s="6">
        <v>1.01</v>
      </c>
      <c r="AD7" s="6">
        <v>1.01</v>
      </c>
      <c r="AE7" s="6">
        <v>1.01</v>
      </c>
      <c r="AF7" s="6">
        <v>1.01</v>
      </c>
      <c r="AG7" s="6">
        <v>1.01</v>
      </c>
      <c r="AH7" s="6">
        <v>1.01</v>
      </c>
      <c r="AI7" s="6">
        <v>1.01</v>
      </c>
      <c r="AJ7" s="6">
        <v>1.01</v>
      </c>
      <c r="AK7" s="6">
        <v>1.01</v>
      </c>
      <c r="AL7" s="6">
        <v>1.01</v>
      </c>
      <c r="AM7" s="6">
        <v>1.01</v>
      </c>
      <c r="AN7" s="6">
        <v>1.01</v>
      </c>
      <c r="AO7" s="6">
        <v>1.01</v>
      </c>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row>
    <row r="8" spans="1:78" x14ac:dyDescent="0.25">
      <c r="A8" s="4" t="s">
        <v>60</v>
      </c>
      <c r="B8" s="4">
        <v>0</v>
      </c>
      <c r="C8" s="4">
        <v>0</v>
      </c>
    </row>
    <row r="9" spans="1:78" x14ac:dyDescent="0.25">
      <c r="A9" s="4" t="s">
        <v>37</v>
      </c>
      <c r="B9" s="4">
        <v>-0.1</v>
      </c>
      <c r="C9" s="4">
        <v>0.1</v>
      </c>
      <c r="D9" s="9" t="s">
        <v>137</v>
      </c>
    </row>
    <row r="10" spans="1:78" x14ac:dyDescent="0.25">
      <c r="A10" s="4" t="s">
        <v>38</v>
      </c>
      <c r="B10" s="4">
        <v>0</v>
      </c>
      <c r="C10" s="4">
        <v>0.1</v>
      </c>
      <c r="D10" s="9" t="s">
        <v>138</v>
      </c>
    </row>
    <row r="11" spans="1:78" x14ac:dyDescent="0.25">
      <c r="A11" s="4" t="s">
        <v>35</v>
      </c>
      <c r="B11" s="9">
        <v>29.47279</v>
      </c>
      <c r="C11" s="9">
        <v>29.47279</v>
      </c>
      <c r="D11" s="9" t="s">
        <v>135</v>
      </c>
    </row>
    <row r="12" spans="1:78" x14ac:dyDescent="0.25">
      <c r="A12" s="4" t="s">
        <v>34</v>
      </c>
      <c r="B12" s="9">
        <v>31.383109999999999</v>
      </c>
      <c r="C12" s="9">
        <v>31.383109999999999</v>
      </c>
      <c r="D12" s="9" t="s">
        <v>135</v>
      </c>
    </row>
    <row r="13" spans="1:78" x14ac:dyDescent="0.25">
      <c r="A13" s="4" t="s">
        <v>36</v>
      </c>
      <c r="B13" s="9">
        <v>1</v>
      </c>
      <c r="C13" s="9">
        <v>1</v>
      </c>
      <c r="D13" s="9" t="s">
        <v>135</v>
      </c>
    </row>
    <row r="14" spans="1:78" x14ac:dyDescent="0.25">
      <c r="A14" s="4" t="s">
        <v>42</v>
      </c>
      <c r="B14" s="4" t="b">
        <v>0</v>
      </c>
    </row>
    <row r="15" spans="1:78" x14ac:dyDescent="0.25">
      <c r="A15" s="4" t="s">
        <v>61</v>
      </c>
    </row>
    <row r="16" spans="1:78" x14ac:dyDescent="0.25">
      <c r="A16" s="4" t="s">
        <v>62</v>
      </c>
    </row>
    <row r="17" spans="1:3" x14ac:dyDescent="0.25">
      <c r="A17" s="4" t="s">
        <v>63</v>
      </c>
    </row>
    <row r="18" spans="1:3" x14ac:dyDescent="0.25">
      <c r="A18" s="4" t="s">
        <v>64</v>
      </c>
      <c r="B18" s="4">
        <v>0</v>
      </c>
      <c r="C18" s="4">
        <v>0</v>
      </c>
    </row>
    <row r="19" spans="1:3" x14ac:dyDescent="0.25">
      <c r="A19" s="4" t="s">
        <v>26</v>
      </c>
    </row>
    <row r="20" spans="1:3" x14ac:dyDescent="0.25">
      <c r="A20" s="4" t="s">
        <v>27</v>
      </c>
    </row>
    <row r="21" spans="1:3" x14ac:dyDescent="0.25">
      <c r="A21" s="4" t="s">
        <v>30</v>
      </c>
    </row>
    <row r="22" spans="1:3" x14ac:dyDescent="0.25">
      <c r="A22" s="4" t="s">
        <v>31</v>
      </c>
    </row>
    <row r="23" spans="1:3" x14ac:dyDescent="0.25">
      <c r="A23" s="4" t="s">
        <v>28</v>
      </c>
    </row>
    <row r="24" spans="1:3" x14ac:dyDescent="0.25">
      <c r="A24" s="4" t="s">
        <v>29</v>
      </c>
    </row>
    <row r="25" spans="1:3" x14ac:dyDescent="0.25">
      <c r="A25" s="4" t="s">
        <v>32</v>
      </c>
    </row>
    <row r="26" spans="1:3" x14ac:dyDescent="0.25">
      <c r="A26" s="4" t="s">
        <v>33</v>
      </c>
    </row>
    <row r="27" spans="1:3" x14ac:dyDescent="0.25">
      <c r="A27" s="4" t="s">
        <v>65</v>
      </c>
      <c r="B27" s="4">
        <v>2017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B2" sqref="B2"/>
    </sheetView>
  </sheetViews>
  <sheetFormatPr defaultColWidth="9" defaultRowHeight="15" x14ac:dyDescent="0.25"/>
  <cols>
    <col min="1" max="1" width="11.5703125" style="8" bestFit="1" customWidth="1"/>
    <col min="2" max="2" width="10" style="8" bestFit="1" customWidth="1"/>
    <col min="3" max="16384" width="9" style="8"/>
  </cols>
  <sheetData>
    <row r="1" spans="1:3" x14ac:dyDescent="0.25">
      <c r="A1" s="8" t="s">
        <v>66</v>
      </c>
    </row>
    <row r="2" spans="1:3" x14ac:dyDescent="0.25">
      <c r="A2" s="8" t="s">
        <v>0</v>
      </c>
      <c r="B2" s="9" t="s">
        <v>152</v>
      </c>
    </row>
    <row r="3" spans="1:3" x14ac:dyDescent="0.25">
      <c r="A3" t="s">
        <v>43</v>
      </c>
      <c r="B3">
        <v>0.05</v>
      </c>
      <c r="C3">
        <v>0.1</v>
      </c>
    </row>
    <row r="4" spans="1:3" x14ac:dyDescent="0.25">
      <c r="A4" t="s">
        <v>44</v>
      </c>
      <c r="B4">
        <v>2.5000000000000001E-2</v>
      </c>
      <c r="C4"/>
    </row>
    <row r="5" spans="1:3" x14ac:dyDescent="0.25">
      <c r="A5" t="s">
        <v>45</v>
      </c>
      <c r="B5">
        <v>100</v>
      </c>
      <c r="C5">
        <v>200</v>
      </c>
    </row>
    <row r="6" spans="1:3" x14ac:dyDescent="0.25">
      <c r="A6" t="s">
        <v>46</v>
      </c>
      <c r="B6">
        <v>25</v>
      </c>
      <c r="C6">
        <v>50</v>
      </c>
    </row>
    <row r="7" spans="1:3" x14ac:dyDescent="0.25">
      <c r="A7" t="s">
        <v>47</v>
      </c>
      <c r="B7">
        <v>100</v>
      </c>
      <c r="C7">
        <v>200</v>
      </c>
    </row>
    <row r="8" spans="1:3" x14ac:dyDescent="0.25">
      <c r="A8" t="s">
        <v>48</v>
      </c>
      <c r="B8">
        <v>25</v>
      </c>
      <c r="C8">
        <v>50</v>
      </c>
    </row>
    <row r="9" spans="1:3" x14ac:dyDescent="0.25">
      <c r="A9" t="s">
        <v>49</v>
      </c>
      <c r="B9">
        <v>0.1</v>
      </c>
      <c r="C9">
        <v>0.15</v>
      </c>
    </row>
    <row r="10" spans="1:3" x14ac:dyDescent="0.25">
      <c r="A10" t="s">
        <v>80</v>
      </c>
      <c r="B10">
        <v>0.2</v>
      </c>
      <c r="C10"/>
    </row>
    <row r="11" spans="1:3" x14ac:dyDescent="0.25">
      <c r="A11" t="s">
        <v>82</v>
      </c>
      <c r="B11">
        <v>0.2</v>
      </c>
      <c r="C11">
        <v>0.5</v>
      </c>
    </row>
    <row r="12" spans="1:3" x14ac:dyDescent="0.25">
      <c r="A12" t="s">
        <v>79</v>
      </c>
      <c r="B12">
        <v>0.5</v>
      </c>
      <c r="C12">
        <v>2</v>
      </c>
    </row>
    <row r="13" spans="1:3" x14ac:dyDescent="0.25">
      <c r="A13" t="s">
        <v>51</v>
      </c>
      <c r="B13">
        <v>0.66</v>
      </c>
      <c r="C13">
        <v>1.5</v>
      </c>
    </row>
    <row r="14" spans="1:3" x14ac:dyDescent="0.25">
      <c r="A14" t="s">
        <v>99</v>
      </c>
      <c r="B14">
        <v>0.1</v>
      </c>
      <c r="C14"/>
    </row>
    <row r="15" spans="1:3" x14ac:dyDescent="0.25">
      <c r="A15" t="s">
        <v>83</v>
      </c>
      <c r="B15">
        <v>0.2</v>
      </c>
      <c r="C15"/>
    </row>
    <row r="16" spans="1:3" x14ac:dyDescent="0.25">
      <c r="A16" t="s">
        <v>84</v>
      </c>
      <c r="B16">
        <v>0.05</v>
      </c>
      <c r="C16"/>
    </row>
    <row r="17" spans="1:3" x14ac:dyDescent="0.25">
      <c r="A17" t="s">
        <v>85</v>
      </c>
      <c r="B17">
        <v>0</v>
      </c>
      <c r="C17"/>
    </row>
    <row r="18" spans="1:3" x14ac:dyDescent="0.25">
      <c r="A18" t="s">
        <v>86</v>
      </c>
      <c r="B18">
        <v>2.5000000000000001E-2</v>
      </c>
      <c r="C18"/>
    </row>
    <row r="19" spans="1:3" x14ac:dyDescent="0.25">
      <c r="A19" t="s">
        <v>87</v>
      </c>
      <c r="B19">
        <v>0.05</v>
      </c>
      <c r="C19"/>
    </row>
    <row r="20" spans="1:3" x14ac:dyDescent="0.25">
      <c r="A20" t="s">
        <v>88</v>
      </c>
      <c r="B20">
        <v>0.05</v>
      </c>
      <c r="C20"/>
    </row>
    <row r="21" spans="1:3" x14ac:dyDescent="0.25">
      <c r="A21" t="s">
        <v>89</v>
      </c>
      <c r="B21">
        <v>0.4</v>
      </c>
      <c r="C21"/>
    </row>
    <row r="22" spans="1:3" x14ac:dyDescent="0.25">
      <c r="A22" t="s">
        <v>90</v>
      </c>
      <c r="B22">
        <v>0.15</v>
      </c>
      <c r="C22"/>
    </row>
    <row r="23" spans="1:3" x14ac:dyDescent="0.25">
      <c r="A23" t="s">
        <v>91</v>
      </c>
      <c r="B23">
        <v>0.2</v>
      </c>
      <c r="C23"/>
    </row>
    <row r="24" spans="1:3" x14ac:dyDescent="0.25">
      <c r="A24" t="s">
        <v>92</v>
      </c>
      <c r="B24">
        <v>0.5</v>
      </c>
      <c r="C24"/>
    </row>
    <row r="25" spans="1:3" x14ac:dyDescent="0.25">
      <c r="A25" t="s">
        <v>93</v>
      </c>
      <c r="B25">
        <v>0.5</v>
      </c>
      <c r="C25"/>
    </row>
    <row r="26" spans="1:3" x14ac:dyDescent="0.25">
      <c r="A26" t="s">
        <v>94</v>
      </c>
      <c r="B26">
        <v>0.5</v>
      </c>
      <c r="C26"/>
    </row>
    <row r="27" spans="1:3" x14ac:dyDescent="0.25">
      <c r="A27" t="s">
        <v>50</v>
      </c>
      <c r="B27">
        <v>0.5</v>
      </c>
      <c r="C27"/>
    </row>
    <row r="28" spans="1:3" x14ac:dyDescent="0.25">
      <c r="A28" t="s">
        <v>81</v>
      </c>
      <c r="B28">
        <v>0.05</v>
      </c>
      <c r="C28">
        <v>0.1</v>
      </c>
    </row>
    <row r="29" spans="1:3" ht="15" customHeight="1" x14ac:dyDescent="0.25">
      <c r="A29" t="s">
        <v>95</v>
      </c>
      <c r="B29">
        <v>0.1</v>
      </c>
      <c r="C29"/>
    </row>
    <row r="30" spans="1:3" x14ac:dyDescent="0.25">
      <c r="A30" t="s">
        <v>96</v>
      </c>
      <c r="B30">
        <v>0.05</v>
      </c>
      <c r="C30">
        <v>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2" sqref="B2"/>
    </sheetView>
  </sheetViews>
  <sheetFormatPr defaultColWidth="9" defaultRowHeight="15" x14ac:dyDescent="0.25"/>
  <cols>
    <col min="1" max="1" width="11.28515625" style="7" bestFit="1" customWidth="1"/>
    <col min="2" max="16384" width="9" style="7"/>
  </cols>
  <sheetData>
    <row r="1" spans="1:3" x14ac:dyDescent="0.25">
      <c r="A1" s="7" t="s">
        <v>66</v>
      </c>
    </row>
    <row r="2" spans="1:3" x14ac:dyDescent="0.25">
      <c r="A2" s="7" t="s">
        <v>0</v>
      </c>
      <c r="B2" s="9" t="s">
        <v>151</v>
      </c>
    </row>
    <row r="3" spans="1:3" x14ac:dyDescent="0.25">
      <c r="A3" s="7" t="s">
        <v>52</v>
      </c>
      <c r="B3" s="7">
        <v>2.5000000000000001E-2</v>
      </c>
      <c r="C3" s="7">
        <v>0.05</v>
      </c>
    </row>
    <row r="4" spans="1:3" x14ac:dyDescent="0.25">
      <c r="A4" s="7" t="s">
        <v>53</v>
      </c>
      <c r="B4" s="7">
        <v>1</v>
      </c>
      <c r="C4" s="7">
        <v>1.05</v>
      </c>
    </row>
    <row r="5" spans="1:3" x14ac:dyDescent="0.25">
      <c r="A5" s="7" t="s">
        <v>97</v>
      </c>
      <c r="B5" s="7">
        <v>2.5000000000000001E-2</v>
      </c>
      <c r="C5" s="7">
        <v>0.05</v>
      </c>
    </row>
    <row r="6" spans="1:3" x14ac:dyDescent="0.25">
      <c r="A6" s="7" t="s">
        <v>98</v>
      </c>
      <c r="B6" s="7">
        <v>1</v>
      </c>
      <c r="C6" s="7">
        <v>1.05</v>
      </c>
    </row>
    <row r="7" spans="1:3" x14ac:dyDescent="0.25">
      <c r="A7" s="7" t="s">
        <v>54</v>
      </c>
      <c r="B7" s="7">
        <v>2.5000000000000001E-2</v>
      </c>
      <c r="C7" s="7">
        <v>0.05</v>
      </c>
    </row>
    <row r="8" spans="1:3" x14ac:dyDescent="0.25">
      <c r="A8" s="7" t="s">
        <v>55</v>
      </c>
      <c r="B8" s="7">
        <v>1</v>
      </c>
      <c r="C8" s="7">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5" sqref="B5"/>
    </sheetView>
  </sheetViews>
  <sheetFormatPr defaultRowHeight="15" x14ac:dyDescent="0.25"/>
  <cols>
    <col min="1" max="1" width="9.42578125" customWidth="1"/>
    <col min="2" max="2" width="12.140625" customWidth="1"/>
  </cols>
  <sheetData>
    <row r="1" spans="1:3" x14ac:dyDescent="0.25">
      <c r="A1" t="s">
        <v>66</v>
      </c>
    </row>
    <row r="2" spans="1:3" x14ac:dyDescent="0.25">
      <c r="A2" t="s">
        <v>0</v>
      </c>
      <c r="B2" t="s">
        <v>156</v>
      </c>
    </row>
    <row r="3" spans="1:3" s="11" customFormat="1" x14ac:dyDescent="0.25">
      <c r="A3" s="11" t="s">
        <v>131</v>
      </c>
      <c r="B3" s="11" t="s">
        <v>141</v>
      </c>
    </row>
    <row r="4" spans="1:3" s="11" customFormat="1" x14ac:dyDescent="0.25">
      <c r="A4" s="11" t="s">
        <v>132</v>
      </c>
      <c r="B4" s="11" t="s">
        <v>157</v>
      </c>
    </row>
    <row r="5" spans="1:3" s="11" customFormat="1" x14ac:dyDescent="0.25">
      <c r="A5" s="11" t="s">
        <v>133</v>
      </c>
      <c r="B5" s="11">
        <v>48.25</v>
      </c>
    </row>
    <row r="6" spans="1:3" s="11" customFormat="1" x14ac:dyDescent="0.25">
      <c r="A6" s="11" t="s">
        <v>134</v>
      </c>
      <c r="B6" s="11">
        <v>-62</v>
      </c>
    </row>
    <row r="7" spans="1:3" x14ac:dyDescent="0.25">
      <c r="A7" t="s">
        <v>67</v>
      </c>
      <c r="B7">
        <v>80</v>
      </c>
    </row>
    <row r="8" spans="1:3" x14ac:dyDescent="0.25">
      <c r="A8" t="s">
        <v>68</v>
      </c>
      <c r="B8">
        <v>50</v>
      </c>
    </row>
    <row r="9" spans="1:3" x14ac:dyDescent="0.25">
      <c r="A9" t="s">
        <v>69</v>
      </c>
      <c r="B9">
        <v>4</v>
      </c>
    </row>
    <row r="10" spans="1:3" x14ac:dyDescent="0.25">
      <c r="A10" t="s">
        <v>70</v>
      </c>
      <c r="B10">
        <v>0.5</v>
      </c>
      <c r="C10" t="s">
        <v>73</v>
      </c>
    </row>
    <row r="11" spans="1:3" x14ac:dyDescent="0.25">
      <c r="A11" t="s">
        <v>71</v>
      </c>
      <c r="B11">
        <v>2</v>
      </c>
      <c r="C11" t="s">
        <v>73</v>
      </c>
    </row>
    <row r="12" spans="1:3" x14ac:dyDescent="0.25">
      <c r="A12" t="s">
        <v>72</v>
      </c>
      <c r="B12">
        <v>1</v>
      </c>
      <c r="C12" t="s">
        <v>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115" zoomScaleNormal="115" workbookViewId="0">
      <selection activeCell="G3" sqref="G3"/>
    </sheetView>
  </sheetViews>
  <sheetFormatPr defaultColWidth="9" defaultRowHeight="15" x14ac:dyDescent="0.25"/>
  <cols>
    <col min="1" max="16384" width="9" style="10"/>
  </cols>
  <sheetData>
    <row r="1" spans="1:10" x14ac:dyDescent="0.25">
      <c r="B1" s="10" t="s">
        <v>103</v>
      </c>
      <c r="C1" s="10" t="s">
        <v>2</v>
      </c>
      <c r="D1" s="10" t="s">
        <v>6</v>
      </c>
    </row>
    <row r="2" spans="1:10" x14ac:dyDescent="0.25">
      <c r="A2" s="10" t="s">
        <v>105</v>
      </c>
      <c r="B2" s="10">
        <v>50</v>
      </c>
      <c r="C2" s="10">
        <v>10</v>
      </c>
      <c r="D2" s="10">
        <v>0.3</v>
      </c>
      <c r="F2" s="10" t="s">
        <v>106</v>
      </c>
      <c r="G2" s="10">
        <f>STDEV(F7:F33)</f>
        <v>0.38817769680339392</v>
      </c>
    </row>
    <row r="3" spans="1:10" x14ac:dyDescent="0.25">
      <c r="A3" s="10" t="s">
        <v>107</v>
      </c>
      <c r="B3" s="10">
        <v>90</v>
      </c>
      <c r="C3" s="10">
        <v>40</v>
      </c>
      <c r="D3" s="10">
        <v>0.99</v>
      </c>
      <c r="F3" s="10" t="s">
        <v>115</v>
      </c>
      <c r="G3" s="10">
        <v>-9.7900000000000001E-2</v>
      </c>
    </row>
    <row r="4" spans="1:10" x14ac:dyDescent="0.25">
      <c r="A4" s="10" t="s">
        <v>108</v>
      </c>
      <c r="B4" s="10">
        <v>74.852708373978544</v>
      </c>
      <c r="C4" s="10">
        <v>18.6908997173079</v>
      </c>
      <c r="D4" s="10">
        <v>0.33511528691811743</v>
      </c>
    </row>
    <row r="5" spans="1:10" x14ac:dyDescent="0.25">
      <c r="C5" s="10" t="s">
        <v>109</v>
      </c>
      <c r="D5" s="10">
        <f>SUM(F7:F33)</f>
        <v>7.4996024756698052</v>
      </c>
    </row>
    <row r="6" spans="1:10" x14ac:dyDescent="0.25">
      <c r="B6" s="10" t="s">
        <v>110</v>
      </c>
      <c r="C6" s="10" t="s">
        <v>104</v>
      </c>
      <c r="D6" s="10" t="s">
        <v>111</v>
      </c>
      <c r="E6" s="10" t="s">
        <v>112</v>
      </c>
      <c r="F6" s="10" t="s">
        <v>113</v>
      </c>
      <c r="G6" s="10" t="s">
        <v>114</v>
      </c>
    </row>
    <row r="7" spans="1:10" x14ac:dyDescent="0.25">
      <c r="A7" s="10">
        <v>10.5400735882258</v>
      </c>
      <c r="B7" s="11">
        <f>A7</f>
        <v>10.5400735882258</v>
      </c>
      <c r="C7" s="11">
        <v>6.9621871899459702</v>
      </c>
      <c r="D7" s="10">
        <f t="shared" ref="D7:D33" si="0">B7/$B$4</f>
        <v>0.14081085129966925</v>
      </c>
      <c r="E7" s="10">
        <f>$C$4*(4*hs*D7)/((1-hs)+(5*hs-1)*D7)</f>
        <v>4.6419389418416248</v>
      </c>
      <c r="F7" s="10">
        <f>LN(E7/C7)^2</f>
        <v>0.1643179635661928</v>
      </c>
      <c r="G7" s="10">
        <f>LN(C7/E7)</f>
        <v>0.40536152205925119</v>
      </c>
      <c r="J7" s="10" t="s">
        <v>116</v>
      </c>
    </row>
    <row r="8" spans="1:10" x14ac:dyDescent="0.25">
      <c r="A8" s="11">
        <v>11.7897936330187</v>
      </c>
      <c r="B8" s="11">
        <f t="shared" ref="B8:B33" si="1">A8</f>
        <v>11.7897936330187</v>
      </c>
      <c r="C8" s="11">
        <v>3.2661779296659601</v>
      </c>
      <c r="D8" s="10">
        <f t="shared" si="0"/>
        <v>0.15750657376503494</v>
      </c>
      <c r="E8" s="10">
        <f t="shared" ref="E8:E33" si="2">$C$4*(4*hs*D8)/((1-hs)+(5*hs-1)*D8)</f>
        <v>5.116394772526152</v>
      </c>
      <c r="F8" s="10">
        <f t="shared" ref="F8:F33" si="3">LN(E8/C8)^2</f>
        <v>0.2014479852273246</v>
      </c>
      <c r="G8" s="10">
        <f t="shared" ref="G8:G33" si="4">LN(C8/E8)</f>
        <v>-0.44882957258554668</v>
      </c>
    </row>
    <row r="9" spans="1:10" x14ac:dyDescent="0.25">
      <c r="A9" s="11">
        <v>15.434810430331099</v>
      </c>
      <c r="B9" s="11">
        <f t="shared" si="1"/>
        <v>15.434810430331099</v>
      </c>
      <c r="C9" s="11">
        <v>8.9955903428508392</v>
      </c>
      <c r="D9" s="10">
        <f t="shared" si="0"/>
        <v>0.20620243095568186</v>
      </c>
      <c r="E9" s="10">
        <f t="shared" si="2"/>
        <v>6.4242056340599323</v>
      </c>
      <c r="F9" s="10">
        <f t="shared" si="3"/>
        <v>0.11334097160496043</v>
      </c>
      <c r="G9" s="10">
        <f t="shared" si="4"/>
        <v>0.33666150894475672</v>
      </c>
    </row>
    <row r="10" spans="1:10" x14ac:dyDescent="0.25">
      <c r="A10" s="11">
        <v>15.8513837785954</v>
      </c>
      <c r="B10" s="11">
        <f t="shared" si="1"/>
        <v>15.8513837785954</v>
      </c>
      <c r="C10" s="11">
        <v>2.7279241538970198</v>
      </c>
      <c r="D10" s="10">
        <f t="shared" si="0"/>
        <v>0.21176767177747041</v>
      </c>
      <c r="E10" s="10">
        <f t="shared" si="2"/>
        <v>6.5668883929475212</v>
      </c>
      <c r="F10" s="10">
        <f t="shared" si="3"/>
        <v>0.77176080075370368</v>
      </c>
      <c r="G10" s="10">
        <f t="shared" si="4"/>
        <v>-0.8784991751582375</v>
      </c>
    </row>
    <row r="11" spans="1:10" x14ac:dyDescent="0.25">
      <c r="A11" s="11">
        <v>16.476243800991799</v>
      </c>
      <c r="B11" s="11">
        <f t="shared" si="1"/>
        <v>16.476243800991799</v>
      </c>
      <c r="C11" s="11">
        <v>8.7563664425090906</v>
      </c>
      <c r="D11" s="10">
        <f t="shared" si="0"/>
        <v>0.22011553301015258</v>
      </c>
      <c r="E11" s="10">
        <f t="shared" si="2"/>
        <v>6.7784399200206202</v>
      </c>
      <c r="F11" s="10">
        <f t="shared" si="3"/>
        <v>6.5553436832321579E-2</v>
      </c>
      <c r="G11" s="10">
        <f t="shared" si="4"/>
        <v>0.25603405404813157</v>
      </c>
    </row>
    <row r="12" spans="1:10" x14ac:dyDescent="0.25">
      <c r="A12" s="11">
        <v>16.8928171492561</v>
      </c>
      <c r="B12" s="11">
        <f t="shared" si="1"/>
        <v>16.8928171492561</v>
      </c>
      <c r="C12" s="11">
        <v>11.5552860765075</v>
      </c>
      <c r="D12" s="10">
        <f t="shared" si="0"/>
        <v>0.22568077383194116</v>
      </c>
      <c r="E12" s="10">
        <f t="shared" si="2"/>
        <v>6.9178524028250035</v>
      </c>
      <c r="F12" s="10">
        <f t="shared" si="3"/>
        <v>0.26320760587784858</v>
      </c>
      <c r="G12" s="10">
        <f t="shared" si="4"/>
        <v>0.51303762618140258</v>
      </c>
    </row>
    <row r="13" spans="1:10" x14ac:dyDescent="0.25">
      <c r="A13" s="11">
        <v>17.725963845784602</v>
      </c>
      <c r="B13" s="11">
        <f t="shared" si="1"/>
        <v>17.725963845784602</v>
      </c>
      <c r="C13" s="11">
        <v>12.7753279682504</v>
      </c>
      <c r="D13" s="10">
        <f t="shared" si="0"/>
        <v>0.23681125547551699</v>
      </c>
      <c r="E13" s="10">
        <f t="shared" si="2"/>
        <v>7.1928647224602855</v>
      </c>
      <c r="F13" s="10">
        <f t="shared" si="3"/>
        <v>0.32996555637610903</v>
      </c>
      <c r="G13" s="10">
        <f t="shared" si="4"/>
        <v>0.57442628454494415</v>
      </c>
    </row>
    <row r="14" spans="1:10" x14ac:dyDescent="0.25">
      <c r="A14" s="11">
        <v>18.246680531114997</v>
      </c>
      <c r="B14" s="11">
        <f t="shared" si="1"/>
        <v>18.246680531114997</v>
      </c>
      <c r="C14" s="11">
        <v>1.90260169771799</v>
      </c>
      <c r="D14" s="10">
        <f t="shared" si="0"/>
        <v>0.24376780650275295</v>
      </c>
      <c r="E14" s="10">
        <f t="shared" si="2"/>
        <v>7.3622156669220162</v>
      </c>
      <c r="F14" s="10">
        <f t="shared" si="3"/>
        <v>1.8309842468090254</v>
      </c>
      <c r="G14" s="10">
        <f t="shared" si="4"/>
        <v>-1.3531386650336412</v>
      </c>
    </row>
    <row r="15" spans="1:10" x14ac:dyDescent="0.25">
      <c r="A15" s="11">
        <v>19.808830587106002</v>
      </c>
      <c r="B15" s="11">
        <f t="shared" si="1"/>
        <v>19.808830587106002</v>
      </c>
      <c r="C15" s="11">
        <v>15.885238672693101</v>
      </c>
      <c r="D15" s="10">
        <f t="shared" si="0"/>
        <v>0.26463745958445845</v>
      </c>
      <c r="E15" s="10">
        <f t="shared" si="2"/>
        <v>7.8589479902733457</v>
      </c>
      <c r="F15" s="10">
        <f t="shared" si="3"/>
        <v>0.49524652328793839</v>
      </c>
      <c r="G15" s="10">
        <f t="shared" si="4"/>
        <v>0.70373753863776378</v>
      </c>
    </row>
    <row r="16" spans="1:10" x14ac:dyDescent="0.25">
      <c r="A16" s="11">
        <v>20.746120620700601</v>
      </c>
      <c r="B16" s="11">
        <f t="shared" si="1"/>
        <v>20.746120620700601</v>
      </c>
      <c r="C16" s="11">
        <v>4.8091720868702401</v>
      </c>
      <c r="D16" s="10">
        <f t="shared" si="0"/>
        <v>0.27715925143348169</v>
      </c>
      <c r="E16" s="10">
        <f t="shared" si="2"/>
        <v>8.1490973468403798</v>
      </c>
      <c r="F16" s="10">
        <f t="shared" si="3"/>
        <v>0.2781320061188694</v>
      </c>
      <c r="G16" s="10">
        <f t="shared" si="4"/>
        <v>-0.52738222013912195</v>
      </c>
    </row>
    <row r="17" spans="1:7" x14ac:dyDescent="0.25">
      <c r="A17" s="11">
        <v>21.266837306031</v>
      </c>
      <c r="B17" s="11">
        <f t="shared" si="1"/>
        <v>21.266837306031</v>
      </c>
      <c r="C17" s="11">
        <v>6.7229632896042304</v>
      </c>
      <c r="D17" s="10">
        <f t="shared" si="0"/>
        <v>0.28411580246071771</v>
      </c>
      <c r="E17" s="10">
        <f t="shared" si="2"/>
        <v>8.3078158214905908</v>
      </c>
      <c r="F17" s="10">
        <f t="shared" si="3"/>
        <v>4.4803221107925027E-2</v>
      </c>
      <c r="G17" s="10">
        <f t="shared" si="4"/>
        <v>-0.21166771390064426</v>
      </c>
    </row>
    <row r="18" spans="1:7" x14ac:dyDescent="0.25">
      <c r="A18" s="11">
        <v>28.348584226523702</v>
      </c>
      <c r="B18" s="11">
        <f t="shared" si="1"/>
        <v>28.348584226523702</v>
      </c>
      <c r="C18" s="11">
        <v>11.339984566199901</v>
      </c>
      <c r="D18" s="10">
        <f t="shared" si="0"/>
        <v>0.37872489643111801</v>
      </c>
      <c r="E18" s="10">
        <f t="shared" si="2"/>
        <v>10.305526506650647</v>
      </c>
      <c r="F18" s="10">
        <f t="shared" si="3"/>
        <v>9.1498086053956595E-3</v>
      </c>
      <c r="G18" s="10">
        <f t="shared" si="4"/>
        <v>9.5654631907689996E-2</v>
      </c>
    </row>
    <row r="19" spans="1:7" x14ac:dyDescent="0.25">
      <c r="A19" s="11">
        <v>32.8267477203647</v>
      </c>
      <c r="B19" s="11">
        <f t="shared" si="1"/>
        <v>32.8267477203647</v>
      </c>
      <c r="C19" s="11">
        <v>8.6666574798809304</v>
      </c>
      <c r="D19" s="10">
        <f t="shared" si="0"/>
        <v>0.43855123526534201</v>
      </c>
      <c r="E19" s="10">
        <f t="shared" si="2"/>
        <v>11.431659281997321</v>
      </c>
      <c r="F19" s="10">
        <f t="shared" si="3"/>
        <v>7.6675518938485038E-2</v>
      </c>
      <c r="G19" s="10">
        <f t="shared" si="4"/>
        <v>-0.2769034469602808</v>
      </c>
    </row>
    <row r="20" spans="1:7" x14ac:dyDescent="0.25">
      <c r="A20" s="11">
        <v>33.659894416893202</v>
      </c>
      <c r="B20" s="11">
        <f t="shared" si="1"/>
        <v>33.659894416893202</v>
      </c>
      <c r="C20" s="11">
        <v>30.304459265792001</v>
      </c>
      <c r="D20" s="10">
        <f t="shared" si="0"/>
        <v>0.44968171690891784</v>
      </c>
      <c r="E20" s="10">
        <f t="shared" si="2"/>
        <v>11.630804240505903</v>
      </c>
      <c r="F20" s="10">
        <f t="shared" si="3"/>
        <v>0.91707007133217022</v>
      </c>
      <c r="G20" s="10">
        <f t="shared" si="4"/>
        <v>0.95763775579922183</v>
      </c>
    </row>
    <row r="21" spans="1:7" x14ac:dyDescent="0.25">
      <c r="A21" s="11">
        <v>35.534474484082502</v>
      </c>
      <c r="B21" s="11">
        <f t="shared" si="1"/>
        <v>35.534474484082502</v>
      </c>
      <c r="C21" s="11">
        <v>6.9621871899459702</v>
      </c>
      <c r="D21" s="10">
        <f t="shared" si="0"/>
        <v>0.47472530060696566</v>
      </c>
      <c r="E21" s="10">
        <f t="shared" si="2"/>
        <v>12.067770146452897</v>
      </c>
      <c r="F21" s="10">
        <f t="shared" si="3"/>
        <v>0.30254905998128528</v>
      </c>
      <c r="G21" s="10">
        <f t="shared" si="4"/>
        <v>-0.55004459817480722</v>
      </c>
    </row>
    <row r="22" spans="1:7" x14ac:dyDescent="0.25">
      <c r="A22" s="11">
        <v>39.075347944328904</v>
      </c>
      <c r="B22" s="11">
        <f t="shared" si="1"/>
        <v>39.075347944328904</v>
      </c>
      <c r="C22" s="11">
        <v>12.990629478558001</v>
      </c>
      <c r="D22" s="10">
        <f t="shared" si="0"/>
        <v>0.52202984759216653</v>
      </c>
      <c r="E22" s="10">
        <f t="shared" si="2"/>
        <v>12.853504358026692</v>
      </c>
      <c r="F22" s="10">
        <f t="shared" si="3"/>
        <v>1.1261032816993112E-4</v>
      </c>
      <c r="G22" s="10">
        <f t="shared" si="4"/>
        <v>1.061180136310195E-2</v>
      </c>
    </row>
    <row r="23" spans="1:7" x14ac:dyDescent="0.25">
      <c r="A23" s="11">
        <v>39.700207966725301</v>
      </c>
      <c r="B23" s="11">
        <f t="shared" si="1"/>
        <v>39.700207966725301</v>
      </c>
      <c r="C23" s="11">
        <v>11.2682173960974</v>
      </c>
      <c r="D23" s="10">
        <f t="shared" si="0"/>
        <v>0.53037770882484858</v>
      </c>
      <c r="E23" s="10">
        <f t="shared" si="2"/>
        <v>12.987068293300991</v>
      </c>
      <c r="F23" s="10">
        <f t="shared" si="3"/>
        <v>2.0154905257546572E-2</v>
      </c>
      <c r="G23" s="10">
        <f t="shared" si="4"/>
        <v>-0.14196797264716635</v>
      </c>
    </row>
    <row r="24" spans="1:7" x14ac:dyDescent="0.25">
      <c r="A24" s="11">
        <v>40.012637977923497</v>
      </c>
      <c r="B24" s="11">
        <f t="shared" si="1"/>
        <v>40.012637977923497</v>
      </c>
      <c r="C24" s="11">
        <v>26.530702237900901</v>
      </c>
      <c r="D24" s="10">
        <f t="shared" si="0"/>
        <v>0.53455163944118966</v>
      </c>
      <c r="E24" s="10">
        <f t="shared" si="2"/>
        <v>13.053299648032082</v>
      </c>
      <c r="F24" s="10">
        <f t="shared" si="3"/>
        <v>0.50305214344954041</v>
      </c>
      <c r="G24" s="10">
        <f t="shared" si="4"/>
        <v>0.7092616889763188</v>
      </c>
    </row>
    <row r="25" spans="1:7" x14ac:dyDescent="0.25">
      <c r="A25" s="11">
        <v>42.720364741641298</v>
      </c>
      <c r="B25" s="11">
        <f t="shared" si="1"/>
        <v>42.720364741641298</v>
      </c>
      <c r="C25" s="11">
        <v>14.617352000881899</v>
      </c>
      <c r="D25" s="10">
        <f t="shared" si="0"/>
        <v>0.57072570478281337</v>
      </c>
      <c r="E25" s="10">
        <f t="shared" si="2"/>
        <v>13.612409899618532</v>
      </c>
      <c r="F25" s="10">
        <f t="shared" si="3"/>
        <v>5.0733491966931214E-3</v>
      </c>
      <c r="G25" s="10">
        <f t="shared" si="4"/>
        <v>7.1227446933700603E-2</v>
      </c>
    </row>
    <row r="26" spans="1:7" x14ac:dyDescent="0.25">
      <c r="A26" s="11">
        <v>43.761798112302003</v>
      </c>
      <c r="B26" s="11">
        <f t="shared" si="1"/>
        <v>43.761798112302003</v>
      </c>
      <c r="C26" s="11">
        <v>18.0143313857347</v>
      </c>
      <c r="D26" s="10">
        <f t="shared" si="0"/>
        <v>0.58463880683728409</v>
      </c>
      <c r="E26" s="10">
        <f t="shared" si="2"/>
        <v>13.820586688649731</v>
      </c>
      <c r="F26" s="10">
        <f t="shared" si="3"/>
        <v>7.0229430667981707E-2</v>
      </c>
      <c r="G26" s="10">
        <f t="shared" si="4"/>
        <v>0.26500835961905378</v>
      </c>
    </row>
    <row r="27" spans="1:7" x14ac:dyDescent="0.25">
      <c r="A27" s="11">
        <v>48.760678291473297</v>
      </c>
      <c r="B27" s="11">
        <f t="shared" si="1"/>
        <v>48.760678291473297</v>
      </c>
      <c r="C27" s="11">
        <v>11.7945099768492</v>
      </c>
      <c r="D27" s="10">
        <f t="shared" si="0"/>
        <v>0.65142169669874284</v>
      </c>
      <c r="E27" s="10">
        <f t="shared" si="2"/>
        <v>14.77053497540887</v>
      </c>
      <c r="F27" s="10">
        <f t="shared" si="3"/>
        <v>5.0625067179182852E-2</v>
      </c>
      <c r="G27" s="10">
        <f t="shared" si="4"/>
        <v>-0.22500014928702347</v>
      </c>
    </row>
    <row r="28" spans="1:7" x14ac:dyDescent="0.25">
      <c r="A28" s="11">
        <v>53.342985122380398</v>
      </c>
      <c r="B28" s="11">
        <f t="shared" si="1"/>
        <v>53.342985122380398</v>
      </c>
      <c r="C28" s="11">
        <v>26.674236578106001</v>
      </c>
      <c r="D28" s="10">
        <f t="shared" si="0"/>
        <v>0.71263934573841436</v>
      </c>
      <c r="E28" s="10">
        <f t="shared" si="2"/>
        <v>15.575632434678527</v>
      </c>
      <c r="F28" s="10">
        <f t="shared" si="3"/>
        <v>0.28943378647626217</v>
      </c>
      <c r="G28" s="10">
        <f t="shared" si="4"/>
        <v>0.53799050779382918</v>
      </c>
    </row>
    <row r="29" spans="1:7" x14ac:dyDescent="0.25">
      <c r="A29" s="11">
        <v>61.882738761798102</v>
      </c>
      <c r="B29" s="11">
        <f t="shared" si="1"/>
        <v>61.882738761798102</v>
      </c>
      <c r="C29" s="11">
        <v>16.961746224231</v>
      </c>
      <c r="D29" s="10">
        <f t="shared" si="0"/>
        <v>0.82672678258507393</v>
      </c>
      <c r="E29" s="10">
        <f t="shared" si="2"/>
        <v>16.930793554193905</v>
      </c>
      <c r="F29" s="10">
        <f t="shared" si="3"/>
        <v>3.3361705171472918E-6</v>
      </c>
      <c r="G29" s="10">
        <f t="shared" si="4"/>
        <v>1.8265186878724552E-3</v>
      </c>
    </row>
    <row r="30" spans="1:7" x14ac:dyDescent="0.25">
      <c r="A30" s="11">
        <v>61.882738761798102</v>
      </c>
      <c r="B30" s="11">
        <f t="shared" si="1"/>
        <v>61.882738761798102</v>
      </c>
      <c r="C30" s="11">
        <v>9.11520229302171</v>
      </c>
      <c r="D30" s="10">
        <f t="shared" si="0"/>
        <v>0.82672678258507393</v>
      </c>
      <c r="E30" s="10">
        <f t="shared" si="2"/>
        <v>16.930793554193905</v>
      </c>
      <c r="F30" s="10">
        <f t="shared" si="3"/>
        <v>0.38339683368798516</v>
      </c>
      <c r="G30" s="10">
        <f t="shared" si="4"/>
        <v>-0.61919046640592357</v>
      </c>
    </row>
    <row r="31" spans="1:7" x14ac:dyDescent="0.25">
      <c r="A31" s="11">
        <v>65.527755559110503</v>
      </c>
      <c r="B31" s="11">
        <f t="shared" si="1"/>
        <v>65.527755559110503</v>
      </c>
      <c r="C31" s="11">
        <v>25.4781170763973</v>
      </c>
      <c r="D31" s="10">
        <f t="shared" si="0"/>
        <v>0.87542263977572088</v>
      </c>
      <c r="E31" s="10">
        <f t="shared" si="2"/>
        <v>17.458582684616655</v>
      </c>
      <c r="F31" s="10">
        <f t="shared" si="3"/>
        <v>0.14287534978956012</v>
      </c>
      <c r="G31" s="10">
        <f t="shared" si="4"/>
        <v>0.37798855774951712</v>
      </c>
    </row>
    <row r="32" spans="1:7" x14ac:dyDescent="0.25">
      <c r="A32" s="11">
        <v>70.005919052951498</v>
      </c>
      <c r="B32" s="11">
        <f t="shared" si="1"/>
        <v>70.005919052951498</v>
      </c>
      <c r="C32" s="11">
        <v>13.516922059309801</v>
      </c>
      <c r="D32" s="10">
        <f t="shared" si="0"/>
        <v>0.93524897860994483</v>
      </c>
      <c r="E32" s="10">
        <f t="shared" si="2"/>
        <v>18.070347955237384</v>
      </c>
      <c r="F32" s="10">
        <f t="shared" si="3"/>
        <v>8.429149381405647E-2</v>
      </c>
      <c r="G32" s="10">
        <f t="shared" si="4"/>
        <v>-0.29032997401931565</v>
      </c>
    </row>
    <row r="33" spans="1:7" x14ac:dyDescent="0.25">
      <c r="A33" s="11">
        <v>71.672212446008601</v>
      </c>
      <c r="B33" s="11">
        <f t="shared" si="1"/>
        <v>71.672212446008601</v>
      </c>
      <c r="C33" s="11">
        <v>13.6365340094807</v>
      </c>
      <c r="D33" s="10">
        <f t="shared" si="0"/>
        <v>0.95750994189709782</v>
      </c>
      <c r="E33" s="10">
        <f t="shared" si="2"/>
        <v>18.288358027577868</v>
      </c>
      <c r="F33" s="10">
        <f t="shared" si="3"/>
        <v>8.6149393232752502E-2</v>
      </c>
      <c r="G33" s="10">
        <f t="shared" si="4"/>
        <v>-0.29351216879842051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B14" sqref="B14"/>
    </sheetView>
  </sheetViews>
  <sheetFormatPr defaultColWidth="9" defaultRowHeight="15" x14ac:dyDescent="0.25"/>
  <cols>
    <col min="1" max="7" width="9" style="11"/>
    <col min="8" max="8" width="5.5703125" style="11" customWidth="1"/>
    <col min="9" max="16384" width="9" style="11"/>
  </cols>
  <sheetData>
    <row r="1" spans="1:9" x14ac:dyDescent="0.25">
      <c r="A1" s="15" t="s">
        <v>120</v>
      </c>
      <c r="B1" s="11">
        <f>COUNT($C$2:$E$2)</f>
        <v>3</v>
      </c>
      <c r="C1" s="14" t="s">
        <v>14</v>
      </c>
      <c r="D1" s="14" t="s">
        <v>11</v>
      </c>
      <c r="E1" s="14" t="s">
        <v>8</v>
      </c>
    </row>
    <row r="2" spans="1:9" x14ac:dyDescent="0.25">
      <c r="A2" s="11">
        <f>{32767,32767,0.000001,0.01,FALSE,FALSE,TRUE,1,1,1,0.0001,TRUE}</f>
        <v>32767</v>
      </c>
      <c r="B2" s="11">
        <f>{0,0,1,100,0,FALSE,TRUE,0.075,0,0,FALSE,30}</f>
        <v>0</v>
      </c>
      <c r="C2" s="14">
        <v>0</v>
      </c>
      <c r="D2" s="14">
        <v>0.23727564411795818</v>
      </c>
      <c r="E2" s="14">
        <v>115.19097488131838</v>
      </c>
      <c r="G2" s="16" t="s">
        <v>122</v>
      </c>
      <c r="H2" s="16"/>
      <c r="I2" s="16" t="s">
        <v>121</v>
      </c>
    </row>
    <row r="3" spans="1:9" x14ac:dyDescent="0.25">
      <c r="A3" s="11">
        <v>0.96111111111111103</v>
      </c>
      <c r="B3" s="11">
        <v>24.676470588235201</v>
      </c>
      <c r="C3" s="11">
        <f>$E$2*(1-EXP(-A3*($D$2-$C$2)))</f>
        <v>23.489070717607969</v>
      </c>
      <c r="D3" s="11">
        <f>LN(B3/C3)</f>
        <v>4.9314944728711646E-2</v>
      </c>
      <c r="E3" s="11">
        <f>LN(NORMDIST(D3,0,0.1,FALSE))</f>
        <v>1.2620483711095789</v>
      </c>
      <c r="G3" s="16">
        <v>2.75</v>
      </c>
      <c r="H3" s="16"/>
      <c r="I3" s="16">
        <f>$E$2*(1-EXP(-G3*($D$2-$C$2)))</f>
        <v>55.206643718891819</v>
      </c>
    </row>
    <row r="4" spans="1:9" x14ac:dyDescent="0.25">
      <c r="A4" s="11">
        <v>1.9722222222222201</v>
      </c>
      <c r="B4" s="11">
        <v>42.259803921568597</v>
      </c>
      <c r="C4" s="11">
        <f t="shared" ref="C4:C10" si="0">$E$2*(1-EXP(-A4*($D$2-$C$2)))</f>
        <v>43.049356867448047</v>
      </c>
      <c r="D4" s="11">
        <f t="shared" ref="D4:D10" si="1">LN(B4/C4)</f>
        <v>-1.8510919196627899E-2</v>
      </c>
      <c r="E4" s="11">
        <f t="shared" ref="E4:E10" si="2">LN(NORMDIST(D4,0,0.1,FALSE))</f>
        <v>1.3665138533141687</v>
      </c>
      <c r="G4" s="16"/>
      <c r="H4" s="16"/>
      <c r="I4" s="16"/>
    </row>
    <row r="5" spans="1:9" x14ac:dyDescent="0.25">
      <c r="A5" s="11">
        <v>2.9638888888888801</v>
      </c>
      <c r="B5" s="11">
        <v>55.873774509803901</v>
      </c>
      <c r="C5" s="11">
        <f t="shared" si="0"/>
        <v>58.174927743664995</v>
      </c>
      <c r="D5" s="11">
        <f t="shared" si="1"/>
        <v>-4.0359347153510465E-2</v>
      </c>
      <c r="E5" s="11">
        <f t="shared" si="2"/>
        <v>1.3022027146564943</v>
      </c>
      <c r="G5" s="16"/>
      <c r="H5" s="16"/>
      <c r="I5" s="16"/>
    </row>
    <row r="6" spans="1:9" x14ac:dyDescent="0.25">
      <c r="A6" s="11">
        <v>3.9555555555555499</v>
      </c>
      <c r="B6" s="11">
        <v>69.046568627450895</v>
      </c>
      <c r="C6" s="11">
        <f t="shared" si="0"/>
        <v>70.129196109208181</v>
      </c>
      <c r="D6" s="11">
        <f t="shared" si="1"/>
        <v>-1.5558015023397893E-2</v>
      </c>
      <c r="E6" s="11">
        <f t="shared" si="2"/>
        <v>1.3715439682159591</v>
      </c>
      <c r="G6" s="16"/>
      <c r="H6" s="16"/>
      <c r="I6" s="16"/>
    </row>
    <row r="7" spans="1:9" x14ac:dyDescent="0.25">
      <c r="A7" s="11">
        <v>4.9666666666666597</v>
      </c>
      <c r="B7" s="11">
        <v>79.129901960784295</v>
      </c>
      <c r="C7" s="11">
        <f t="shared" si="0"/>
        <v>79.741006193649937</v>
      </c>
      <c r="D7" s="11">
        <f t="shared" si="1"/>
        <v>-7.6931296477152728E-3</v>
      </c>
      <c r="E7" s="11">
        <f t="shared" si="2"/>
        <v>1.3806873476005452</v>
      </c>
      <c r="G7" s="16"/>
      <c r="H7" s="16"/>
      <c r="I7" s="16"/>
    </row>
    <row r="8" spans="1:9" x14ac:dyDescent="0.25">
      <c r="A8" s="11">
        <v>5.9388888888888802</v>
      </c>
      <c r="B8" s="11">
        <v>87.450980392156794</v>
      </c>
      <c r="C8" s="11">
        <f t="shared" si="0"/>
        <v>87.044061046973894</v>
      </c>
      <c r="D8" s="11">
        <f t="shared" si="1"/>
        <v>4.6639730213256922E-3</v>
      </c>
      <c r="E8" s="11">
        <f t="shared" si="2"/>
        <v>1.3825589275721903</v>
      </c>
      <c r="G8" s="16"/>
      <c r="H8" s="16"/>
      <c r="I8" s="16"/>
    </row>
    <row r="9" spans="1:9" x14ac:dyDescent="0.25">
      <c r="A9" s="11">
        <v>6.9694444444444397</v>
      </c>
      <c r="B9" s="11">
        <v>93.5625</v>
      </c>
      <c r="C9" s="11">
        <f t="shared" si="0"/>
        <v>93.149806770827823</v>
      </c>
      <c r="D9" s="11">
        <f t="shared" si="1"/>
        <v>4.4206395216494637E-3</v>
      </c>
      <c r="E9" s="11">
        <f t="shared" si="2"/>
        <v>1.3826694571003544</v>
      </c>
      <c r="G9" s="16"/>
      <c r="H9" s="16"/>
      <c r="I9" s="16"/>
    </row>
    <row r="10" spans="1:9" x14ac:dyDescent="0.25">
      <c r="A10" s="11">
        <v>7.9611111111111104</v>
      </c>
      <c r="B10" s="11">
        <v>100.117647058823</v>
      </c>
      <c r="C10" s="11">
        <f t="shared" si="0"/>
        <v>97.771067835221217</v>
      </c>
      <c r="D10" s="11">
        <f t="shared" si="1"/>
        <v>2.371726170833819E-2</v>
      </c>
      <c r="E10" s="11">
        <f t="shared" si="2"/>
        <v>1.3555211346422829</v>
      </c>
      <c r="F10" s="11">
        <f>-SUM(E3:E10)</f>
        <v>-10.803745774211574</v>
      </c>
      <c r="G10" s="16"/>
      <c r="H10" s="16"/>
      <c r="I10" s="16"/>
    </row>
    <row r="11" spans="1:9" x14ac:dyDescent="0.25">
      <c r="G11" s="16"/>
      <c r="H11" s="16"/>
      <c r="I11" s="16"/>
    </row>
    <row r="12" spans="1:9" x14ac:dyDescent="0.25">
      <c r="A12" s="13" t="s">
        <v>119</v>
      </c>
      <c r="C12" s="12" t="s">
        <v>14</v>
      </c>
      <c r="D12" s="12" t="s">
        <v>11</v>
      </c>
      <c r="E12" s="12" t="s">
        <v>8</v>
      </c>
      <c r="G12" s="16"/>
      <c r="H12" s="16"/>
      <c r="I12" s="16"/>
    </row>
    <row r="13" spans="1:9" x14ac:dyDescent="0.25">
      <c r="A13" s="11" t="s">
        <v>117</v>
      </c>
      <c r="B13" s="11" t="s">
        <v>118</v>
      </c>
      <c r="C13" s="12">
        <v>0</v>
      </c>
      <c r="D13" s="12">
        <v>0.2041273575139112</v>
      </c>
      <c r="E13" s="12">
        <v>108.3458636347797</v>
      </c>
      <c r="G13" s="16"/>
      <c r="H13" s="16"/>
      <c r="I13" s="16" t="s">
        <v>123</v>
      </c>
    </row>
    <row r="14" spans="1:9" x14ac:dyDescent="0.25">
      <c r="A14" s="11">
        <v>0.96111111111111103</v>
      </c>
      <c r="B14" s="11">
        <v>21.147058823529399</v>
      </c>
      <c r="C14" s="11">
        <f>$E$13*(1-EXP(-A14*($D$13-$C$13)))</f>
        <v>19.301075563610524</v>
      </c>
      <c r="D14" s="11">
        <f>LN(B14/C14)</f>
        <v>9.1340010062347141E-2</v>
      </c>
      <c r="E14" s="11">
        <f>LN(NORMDIST(D14,0,0.1,FALSE))</f>
        <v>0.96649668787988929</v>
      </c>
      <c r="G14" s="16">
        <v>2.25</v>
      </c>
      <c r="H14" s="16"/>
      <c r="I14" s="16">
        <f>$E$13*(1-EXP(-G14*($D$13-$C$13)))</f>
        <v>39.90007693435971</v>
      </c>
    </row>
    <row r="15" spans="1:9" x14ac:dyDescent="0.25">
      <c r="A15" s="11">
        <v>1.9722222222222201</v>
      </c>
      <c r="B15" s="11">
        <v>34.318627450980301</v>
      </c>
      <c r="C15" s="11">
        <f t="shared" ref="C15:C21" si="3">$E$13*(1-EXP(-A15*($D$13-$C$13)))</f>
        <v>35.906920698609206</v>
      </c>
      <c r="D15" s="11">
        <f t="shared" ref="D15:D21" si="4">LN(B15/C15)</f>
        <v>-4.5241772902166945E-2</v>
      </c>
      <c r="E15" s="11">
        <f t="shared" ref="E15:E21" si="5">LN(NORMDIST(D15,0,0.1,FALSE))</f>
        <v>1.2813056590228107</v>
      </c>
    </row>
    <row r="16" spans="1:9" x14ac:dyDescent="0.25">
      <c r="A16" s="11">
        <v>2.9444444444444402</v>
      </c>
      <c r="B16" s="11">
        <v>47.492647058823501</v>
      </c>
      <c r="C16" s="11">
        <f t="shared" si="3"/>
        <v>48.946299561790184</v>
      </c>
      <c r="D16" s="11">
        <f t="shared" si="4"/>
        <v>-3.0148869536349383E-2</v>
      </c>
      <c r="E16" s="11">
        <f t="shared" si="5"/>
        <v>1.3381988430733822</v>
      </c>
    </row>
    <row r="17" spans="1:6" x14ac:dyDescent="0.25">
      <c r="A17" s="11">
        <v>3.9749999999999899</v>
      </c>
      <c r="B17" s="11">
        <v>57.574754901960702</v>
      </c>
      <c r="C17" s="11">
        <f t="shared" si="3"/>
        <v>60.215063617948559</v>
      </c>
      <c r="D17" s="11">
        <f t="shared" si="4"/>
        <v>-4.4838358549459806E-2</v>
      </c>
      <c r="E17" s="11">
        <f t="shared" si="5"/>
        <v>1.2831226399188771</v>
      </c>
    </row>
    <row r="18" spans="1:6" x14ac:dyDescent="0.25">
      <c r="A18" s="11">
        <v>4.9472222222222202</v>
      </c>
      <c r="B18" s="11">
        <v>66.778186274509807</v>
      </c>
      <c r="C18" s="11">
        <f t="shared" si="3"/>
        <v>68.878852886111545</v>
      </c>
      <c r="D18" s="11">
        <f t="shared" si="4"/>
        <v>-3.09727317428697E-2</v>
      </c>
      <c r="E18" s="11">
        <f t="shared" si="5"/>
        <v>1.3356810542085846</v>
      </c>
    </row>
    <row r="19" spans="1:6" x14ac:dyDescent="0.25">
      <c r="A19" s="11">
        <v>5.9777777777777699</v>
      </c>
      <c r="B19" s="11">
        <v>75.536764705882305</v>
      </c>
      <c r="C19" s="11">
        <f t="shared" si="3"/>
        <v>76.366187836619133</v>
      </c>
      <c r="D19" s="11">
        <f t="shared" si="4"/>
        <v>-1.0920543146807378E-2</v>
      </c>
      <c r="E19" s="11">
        <f t="shared" si="5"/>
        <v>1.3776836466583089</v>
      </c>
    </row>
    <row r="20" spans="1:6" x14ac:dyDescent="0.25">
      <c r="A20" s="11">
        <v>6.9499999999999904</v>
      </c>
      <c r="B20" s="11">
        <v>82.975490196078397</v>
      </c>
      <c r="C20" s="11">
        <f t="shared" si="3"/>
        <v>82.122692442454564</v>
      </c>
      <c r="D20" s="11">
        <f t="shared" si="4"/>
        <v>1.0330887048051714E-2</v>
      </c>
      <c r="E20" s="11">
        <f t="shared" si="5"/>
        <v>1.3783101984293928</v>
      </c>
    </row>
    <row r="21" spans="1:6" x14ac:dyDescent="0.25">
      <c r="A21" s="11">
        <v>8</v>
      </c>
      <c r="B21" s="11">
        <v>92.615196078431296</v>
      </c>
      <c r="C21" s="11">
        <f t="shared" si="3"/>
        <v>87.181692922285322</v>
      </c>
      <c r="D21" s="11">
        <f t="shared" si="4"/>
        <v>6.045886738522907E-2</v>
      </c>
      <c r="E21" s="11">
        <f t="shared" si="5"/>
        <v>1.200882827514137</v>
      </c>
      <c r="F21" s="11">
        <f>-SUM(E14:E21)</f>
        <v>-10.161681556705384</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2" workbookViewId="0">
      <selection activeCell="E39" sqref="E39"/>
    </sheetView>
  </sheetViews>
  <sheetFormatPr defaultRowHeight="15" x14ac:dyDescent="0.25"/>
  <cols>
    <col min="2" max="2" width="14.42578125" bestFit="1" customWidth="1"/>
    <col min="3" max="6" width="11" style="11" customWidth="1"/>
  </cols>
  <sheetData>
    <row r="1" spans="1:15" s="11" customFormat="1" x14ac:dyDescent="0.25">
      <c r="A1" s="11" t="s">
        <v>3</v>
      </c>
      <c r="B1" s="11">
        <v>0.2</v>
      </c>
      <c r="I1" s="11" t="s">
        <v>3</v>
      </c>
      <c r="J1" s="11">
        <v>0.76</v>
      </c>
    </row>
    <row r="2" spans="1:15" s="11" customFormat="1" x14ac:dyDescent="0.25">
      <c r="A2" s="11" t="s">
        <v>2</v>
      </c>
      <c r="B2" s="11">
        <v>18690900</v>
      </c>
      <c r="I2" s="11" t="s">
        <v>2</v>
      </c>
      <c r="J2" s="11">
        <v>18690900</v>
      </c>
    </row>
    <row r="3" spans="1:15" s="11" customFormat="1" x14ac:dyDescent="0.25">
      <c r="A3" s="11" t="s">
        <v>124</v>
      </c>
      <c r="B3" s="11">
        <v>2.5</v>
      </c>
      <c r="I3" s="11" t="s">
        <v>124</v>
      </c>
      <c r="J3" s="11">
        <v>2.5</v>
      </c>
    </row>
    <row r="4" spans="1:15" s="11" customFormat="1" x14ac:dyDescent="0.25">
      <c r="A4" s="11" t="s">
        <v>125</v>
      </c>
      <c r="B4" s="11">
        <v>0.25</v>
      </c>
      <c r="I4" s="11" t="s">
        <v>125</v>
      </c>
      <c r="J4" s="11">
        <v>0.25</v>
      </c>
    </row>
    <row r="5" spans="1:15" s="11" customFormat="1" x14ac:dyDescent="0.25">
      <c r="A5" s="11" t="s">
        <v>126</v>
      </c>
      <c r="B5" s="11">
        <f>AVERAGE(0.204,0.237)</f>
        <v>0.22049999999999997</v>
      </c>
      <c r="I5" s="11" t="s">
        <v>126</v>
      </c>
      <c r="J5" s="11">
        <f>AVERAGE(0.204,0.237)</f>
        <v>0.22049999999999997</v>
      </c>
    </row>
    <row r="6" spans="1:15" s="11" customFormat="1" x14ac:dyDescent="0.25">
      <c r="A6" s="11" t="s">
        <v>8</v>
      </c>
      <c r="B6" s="11">
        <f>AVERAGE(108.3,115.2)</f>
        <v>111.75</v>
      </c>
      <c r="I6" s="11" t="s">
        <v>8</v>
      </c>
      <c r="J6" s="11">
        <f>AVERAGE(108.3,115.2)</f>
        <v>111.75</v>
      </c>
    </row>
    <row r="7" spans="1:15" s="11" customFormat="1" x14ac:dyDescent="0.25">
      <c r="A7" s="11" t="s">
        <v>16</v>
      </c>
      <c r="B7" s="11">
        <v>6.9999999999999999E-6</v>
      </c>
      <c r="I7" s="11" t="s">
        <v>16</v>
      </c>
      <c r="J7" s="11">
        <v>6.9999999999999999E-6</v>
      </c>
    </row>
    <row r="8" spans="1:15" s="11" customFormat="1" x14ac:dyDescent="0.25">
      <c r="A8" s="11" t="s">
        <v>17</v>
      </c>
      <c r="B8" s="11">
        <v>3.08</v>
      </c>
      <c r="I8" s="11" t="s">
        <v>17</v>
      </c>
      <c r="J8" s="11">
        <v>3.08</v>
      </c>
    </row>
    <row r="9" spans="1:15" x14ac:dyDescent="0.25">
      <c r="A9" t="s">
        <v>117</v>
      </c>
      <c r="B9" t="s">
        <v>127</v>
      </c>
      <c r="C9" s="11" t="s">
        <v>128</v>
      </c>
      <c r="D9" s="11" t="s">
        <v>129</v>
      </c>
      <c r="E9" s="11" t="s">
        <v>3</v>
      </c>
      <c r="F9" s="11" t="s">
        <v>110</v>
      </c>
      <c r="I9" s="11" t="s">
        <v>117</v>
      </c>
      <c r="J9" s="11" t="s">
        <v>127</v>
      </c>
      <c r="K9" s="11" t="s">
        <v>128</v>
      </c>
      <c r="L9" s="11" t="s">
        <v>129</v>
      </c>
      <c r="M9" s="11" t="s">
        <v>3</v>
      </c>
      <c r="N9" s="11" t="s">
        <v>110</v>
      </c>
      <c r="O9" s="11"/>
    </row>
    <row r="10" spans="1:15" x14ac:dyDescent="0.25">
      <c r="A10">
        <v>1</v>
      </c>
      <c r="B10" s="17">
        <f>B2</f>
        <v>18690900</v>
      </c>
      <c r="C10" s="11">
        <f>B$6*(1-EXP(-B$5*A10))</f>
        <v>22.113353857212847</v>
      </c>
      <c r="D10" s="11">
        <f>B$7*C10^B$8</f>
        <v>9.696929895915761E-2</v>
      </c>
      <c r="E10" s="11">
        <f>1/(1+EXP((B$3-A10)/B$4))</f>
        <v>2.4726231566347743E-3</v>
      </c>
      <c r="F10" s="11">
        <f>E10*D10*B10</f>
        <v>4481.4896938050888</v>
      </c>
      <c r="G10" s="11"/>
      <c r="I10" s="11">
        <v>1</v>
      </c>
      <c r="J10" s="11">
        <f>J2</f>
        <v>18690900</v>
      </c>
      <c r="K10" s="11">
        <f>J$6*(1-EXP(-J$5*I10))</f>
        <v>22.113353857212847</v>
      </c>
      <c r="L10" s="11">
        <f>J$7*K10^J$8</f>
        <v>9.696929895915761E-2</v>
      </c>
      <c r="M10" s="11">
        <f>1/(1+EXP((J$3-I10)/J$4))</f>
        <v>2.4726231566347743E-3</v>
      </c>
      <c r="N10" s="11">
        <f>M10*L10*J10</f>
        <v>4481.4896938050888</v>
      </c>
      <c r="O10" s="11"/>
    </row>
    <row r="11" spans="1:15" x14ac:dyDescent="0.25">
      <c r="A11">
        <v>2</v>
      </c>
      <c r="B11" s="17">
        <f>B10*EXP(-B$1)</f>
        <v>15302814.632705251</v>
      </c>
      <c r="C11" s="11">
        <f t="shared" ref="C11:C29" si="0">B$6*(1-EXP(-B$5*A11))</f>
        <v>39.850865040472144</v>
      </c>
      <c r="D11" s="11">
        <f t="shared" ref="D11:D29" si="1">B$7*C11^B$8</f>
        <v>0.59490321967784365</v>
      </c>
      <c r="E11" s="11">
        <f t="shared" ref="E11:E29" si="2">1/(1+EXP((B$3-A11)/B$4))</f>
        <v>0.11920292202211755</v>
      </c>
      <c r="F11" s="11">
        <f t="shared" ref="F11:F29" si="3">E11*D11*B11</f>
        <v>1085186.8896537735</v>
      </c>
      <c r="I11" s="11">
        <v>2</v>
      </c>
      <c r="J11" s="11">
        <f>J10*EXP(-J$1)</f>
        <v>8741106.4205995128</v>
      </c>
      <c r="K11" s="11">
        <f t="shared" ref="K11:K29" si="4">J$6*(1-EXP(-J$5*I11))</f>
        <v>39.850865040472144</v>
      </c>
      <c r="L11" s="11">
        <f t="shared" ref="L11:L29" si="5">J$7*K11^J$8</f>
        <v>0.59490321967784365</v>
      </c>
      <c r="M11" s="11">
        <f t="shared" ref="M11:M29" si="6">1/(1+EXP((J$3-I11)/J$4))</f>
        <v>0.11920292202211755</v>
      </c>
      <c r="N11" s="11">
        <f t="shared" ref="N11:N19" si="7">M11*L11*J11</f>
        <v>619868.5873401392</v>
      </c>
      <c r="O11" s="11"/>
    </row>
    <row r="12" spans="1:15" x14ac:dyDescent="0.25">
      <c r="A12" s="11">
        <v>3</v>
      </c>
      <c r="B12" s="17">
        <f t="shared" ref="B12:B29" si="8">B11*EXP(-B$1)</f>
        <v>12528884.948447529</v>
      </c>
      <c r="C12" s="11">
        <f t="shared" si="0"/>
        <v>54.078435630069848</v>
      </c>
      <c r="D12" s="11">
        <f t="shared" si="1"/>
        <v>1.5233943109582331</v>
      </c>
      <c r="E12" s="11">
        <f t="shared" si="2"/>
        <v>0.88079707797788231</v>
      </c>
      <c r="F12" s="11">
        <f t="shared" si="3"/>
        <v>16811273.58140726</v>
      </c>
      <c r="G12" s="11"/>
      <c r="I12" s="11">
        <v>3</v>
      </c>
      <c r="J12" s="11">
        <f t="shared" ref="J12:J29" si="9">J11*EXP(-J$1)</f>
        <v>4087922.0078351512</v>
      </c>
      <c r="K12" s="11">
        <f t="shared" si="4"/>
        <v>54.078435630069848</v>
      </c>
      <c r="L12" s="11">
        <f t="shared" si="5"/>
        <v>1.5233943109582331</v>
      </c>
      <c r="M12" s="11">
        <f t="shared" si="6"/>
        <v>0.88079707797788231</v>
      </c>
      <c r="N12" s="11">
        <f t="shared" si="7"/>
        <v>5485178.8914932916</v>
      </c>
      <c r="O12" s="11"/>
    </row>
    <row r="13" spans="1:15" x14ac:dyDescent="0.25">
      <c r="A13" s="11">
        <v>4</v>
      </c>
      <c r="B13" s="17">
        <f t="shared" si="8"/>
        <v>10257783.409069836</v>
      </c>
      <c r="C13" s="11">
        <f t="shared" si="0"/>
        <v>65.490620958135125</v>
      </c>
      <c r="D13" s="11">
        <f t="shared" si="1"/>
        <v>2.7474493415031342</v>
      </c>
      <c r="E13" s="11">
        <f t="shared" si="2"/>
        <v>0.99752737684336534</v>
      </c>
      <c r="F13" s="11">
        <f t="shared" si="3"/>
        <v>28113054.97631542</v>
      </c>
      <c r="G13" s="11"/>
      <c r="I13" s="11">
        <v>4</v>
      </c>
      <c r="J13" s="11">
        <f t="shared" si="9"/>
        <v>1911783.8792994393</v>
      </c>
      <c r="K13" s="11">
        <f t="shared" si="4"/>
        <v>65.490620958135125</v>
      </c>
      <c r="L13" s="11">
        <f t="shared" si="5"/>
        <v>2.7474493415031342</v>
      </c>
      <c r="M13" s="11">
        <f t="shared" si="6"/>
        <v>0.99752737684336534</v>
      </c>
      <c r="N13" s="11">
        <f t="shared" si="7"/>
        <v>5239541.8345504263</v>
      </c>
      <c r="O13" s="11"/>
    </row>
    <row r="14" spans="1:15" x14ac:dyDescent="0.25">
      <c r="A14" s="11">
        <v>5</v>
      </c>
      <c r="B14" s="17">
        <f t="shared" si="8"/>
        <v>8398362.7354185749</v>
      </c>
      <c r="C14" s="11">
        <f t="shared" si="0"/>
        <v>74.644536107734154</v>
      </c>
      <c r="D14" s="11">
        <f t="shared" si="1"/>
        <v>4.1108530463914796</v>
      </c>
      <c r="E14" s="11">
        <f t="shared" si="2"/>
        <v>0.99995460213129761</v>
      </c>
      <c r="F14" s="11">
        <f t="shared" si="3"/>
        <v>34522867.699827358</v>
      </c>
      <c r="G14" s="11"/>
      <c r="I14" s="11">
        <v>5</v>
      </c>
      <c r="J14" s="11">
        <f t="shared" si="9"/>
        <v>894077.13604711229</v>
      </c>
      <c r="K14" s="11">
        <f t="shared" si="4"/>
        <v>74.644536107734154</v>
      </c>
      <c r="L14" s="11">
        <f t="shared" si="5"/>
        <v>4.1108530463914796</v>
      </c>
      <c r="M14" s="11">
        <f t="shared" si="6"/>
        <v>0.99995460213129761</v>
      </c>
      <c r="N14" s="11">
        <f t="shared" si="7"/>
        <v>3675252.8622064372</v>
      </c>
      <c r="O14" s="11"/>
    </row>
    <row r="15" spans="1:15" x14ac:dyDescent="0.25">
      <c r="A15" s="11">
        <v>6</v>
      </c>
      <c r="B15" s="17">
        <f t="shared" si="8"/>
        <v>6875997.846991309</v>
      </c>
      <c r="C15" s="11">
        <f t="shared" si="0"/>
        <v>81.987052913870258</v>
      </c>
      <c r="D15" s="11">
        <f t="shared" si="1"/>
        <v>5.4882449824300465</v>
      </c>
      <c r="E15" s="11">
        <f t="shared" si="2"/>
        <v>0.99999916847197223</v>
      </c>
      <c r="F15" s="11">
        <f t="shared" si="3"/>
        <v>37737129.303443059</v>
      </c>
      <c r="G15" s="11"/>
      <c r="I15" s="11">
        <v>6</v>
      </c>
      <c r="J15" s="11">
        <f t="shared" si="9"/>
        <v>418129.85968640551</v>
      </c>
      <c r="K15" s="11">
        <f t="shared" si="4"/>
        <v>81.987052913870258</v>
      </c>
      <c r="L15" s="11">
        <f t="shared" si="5"/>
        <v>5.4882449824300465</v>
      </c>
      <c r="M15" s="11">
        <f t="shared" si="6"/>
        <v>0.99999916847197223</v>
      </c>
      <c r="N15" s="11">
        <f t="shared" si="7"/>
        <v>2294797.1962383213</v>
      </c>
      <c r="O15" s="11"/>
    </row>
    <row r="16" spans="1:15" x14ac:dyDescent="0.25">
      <c r="A16" s="11">
        <v>7</v>
      </c>
      <c r="B16" s="17">
        <f t="shared" si="8"/>
        <v>5629590.8954297761</v>
      </c>
      <c r="C16" s="11">
        <f t="shared" si="0"/>
        <v>87.876615157709992</v>
      </c>
      <c r="D16" s="11">
        <f t="shared" si="1"/>
        <v>6.7956009240740691</v>
      </c>
      <c r="E16" s="11">
        <f t="shared" si="2"/>
        <v>0.9999999847700205</v>
      </c>
      <c r="F16" s="11">
        <f t="shared" si="3"/>
        <v>38256452.50849656</v>
      </c>
      <c r="G16" s="11"/>
      <c r="I16" s="11">
        <v>7</v>
      </c>
      <c r="J16" s="11">
        <f t="shared" si="9"/>
        <v>195545.29750569595</v>
      </c>
      <c r="K16" s="11">
        <f t="shared" si="4"/>
        <v>87.876615157709992</v>
      </c>
      <c r="L16" s="11">
        <f t="shared" si="5"/>
        <v>6.7956009240740691</v>
      </c>
      <c r="M16" s="11">
        <f t="shared" si="6"/>
        <v>0.9999999847700205</v>
      </c>
      <c r="N16" s="11">
        <f t="shared" si="7"/>
        <v>1328847.7841897213</v>
      </c>
      <c r="O16" s="11"/>
    </row>
    <row r="17" spans="1:15" x14ac:dyDescent="0.25">
      <c r="A17" s="11">
        <v>8</v>
      </c>
      <c r="B17" s="17">
        <f t="shared" si="8"/>
        <v>4609119.1933361702</v>
      </c>
      <c r="C17" s="11">
        <f t="shared" si="0"/>
        <v>92.600736918667309</v>
      </c>
      <c r="D17" s="11">
        <f t="shared" si="1"/>
        <v>7.9849191643956798</v>
      </c>
      <c r="E17" s="11">
        <f t="shared" si="2"/>
        <v>0.99999999972105313</v>
      </c>
      <c r="F17" s="11">
        <f t="shared" si="3"/>
        <v>36803444.167587735</v>
      </c>
      <c r="G17" s="11"/>
      <c r="I17" s="11">
        <v>8</v>
      </c>
      <c r="J17" s="11">
        <f t="shared" si="9"/>
        <v>91449.970603078546</v>
      </c>
      <c r="K17" s="11">
        <f t="shared" si="4"/>
        <v>92.600736918667309</v>
      </c>
      <c r="L17" s="11">
        <f t="shared" si="5"/>
        <v>7.9849191643956798</v>
      </c>
      <c r="M17" s="11">
        <f t="shared" si="6"/>
        <v>0.99999999972105313</v>
      </c>
      <c r="N17" s="11">
        <f t="shared" si="7"/>
        <v>730220.62264825066</v>
      </c>
      <c r="O17" s="11"/>
    </row>
    <row r="18" spans="1:15" x14ac:dyDescent="0.25">
      <c r="A18" s="11">
        <v>9</v>
      </c>
      <c r="B18" s="17">
        <f t="shared" si="8"/>
        <v>3773627.6281863027</v>
      </c>
      <c r="C18" s="11">
        <f t="shared" si="0"/>
        <v>96.390038311261236</v>
      </c>
      <c r="D18" s="11">
        <f t="shared" si="1"/>
        <v>9.0347693715368607</v>
      </c>
      <c r="E18" s="11">
        <f t="shared" si="2"/>
        <v>0.99999999999489098</v>
      </c>
      <c r="F18" s="11">
        <f t="shared" si="3"/>
        <v>34093855.314548708</v>
      </c>
      <c r="G18" s="11"/>
      <c r="I18" s="11">
        <v>9</v>
      </c>
      <c r="J18" s="11">
        <f t="shared" si="9"/>
        <v>42768.081002102976</v>
      </c>
      <c r="K18" s="11">
        <f t="shared" si="4"/>
        <v>96.390038311261236</v>
      </c>
      <c r="L18" s="11">
        <f t="shared" si="5"/>
        <v>9.0347693715368607</v>
      </c>
      <c r="M18" s="11">
        <f t="shared" si="6"/>
        <v>0.99999999999489098</v>
      </c>
      <c r="N18" s="11">
        <f t="shared" si="7"/>
        <v>386399.74831523333</v>
      </c>
      <c r="O18" s="11"/>
    </row>
    <row r="19" spans="1:15" x14ac:dyDescent="0.25">
      <c r="A19" s="11">
        <v>10</v>
      </c>
      <c r="B19" s="17">
        <f t="shared" si="8"/>
        <v>3089584.9898608499</v>
      </c>
      <c r="C19" s="11">
        <f t="shared" si="0"/>
        <v>99.429503797223759</v>
      </c>
      <c r="D19" s="11">
        <f t="shared" si="1"/>
        <v>9.9413434521709316</v>
      </c>
      <c r="E19" s="11">
        <f t="shared" si="2"/>
        <v>0.99999999999990652</v>
      </c>
      <c r="F19" s="11">
        <f t="shared" si="3"/>
        <v>30714625.508875884</v>
      </c>
      <c r="G19" s="11"/>
      <c r="I19" s="11">
        <v>10</v>
      </c>
      <c r="J19" s="11">
        <f t="shared" si="9"/>
        <v>20001.195632323877</v>
      </c>
      <c r="K19" s="11">
        <f t="shared" si="4"/>
        <v>99.429503797223759</v>
      </c>
      <c r="L19" s="11">
        <f t="shared" si="5"/>
        <v>9.9413434521709316</v>
      </c>
      <c r="M19" s="11">
        <f t="shared" si="6"/>
        <v>0.99999999999990652</v>
      </c>
      <c r="N19" s="11">
        <f t="shared" si="7"/>
        <v>198838.75523497423</v>
      </c>
      <c r="O19" s="11"/>
    </row>
    <row r="20" spans="1:15" x14ac:dyDescent="0.25">
      <c r="A20" s="11">
        <v>11</v>
      </c>
      <c r="B20" s="17">
        <f t="shared" si="8"/>
        <v>2529538.2454472026</v>
      </c>
      <c r="C20" s="11">
        <f t="shared" si="0"/>
        <v>101.86751267622545</v>
      </c>
      <c r="D20" s="11">
        <f t="shared" si="1"/>
        <v>10.711443521416943</v>
      </c>
      <c r="E20" s="11">
        <f t="shared" si="2"/>
        <v>0.99999999999999822</v>
      </c>
      <c r="F20" s="11">
        <f>E20*D20*B20</f>
        <v>27095006.051371768</v>
      </c>
      <c r="G20" s="11"/>
      <c r="I20" s="11">
        <v>11</v>
      </c>
      <c r="J20" s="11">
        <f t="shared" si="9"/>
        <v>9353.8876972951093</v>
      </c>
      <c r="K20" s="11">
        <f t="shared" si="4"/>
        <v>101.86751267622545</v>
      </c>
      <c r="L20" s="11">
        <f t="shared" si="5"/>
        <v>10.711443521416943</v>
      </c>
      <c r="M20" s="11">
        <f t="shared" si="6"/>
        <v>0.99999999999999822</v>
      </c>
      <c r="N20" s="11">
        <f>M20*L20*J20</f>
        <v>100193.63977525316</v>
      </c>
      <c r="O20" s="11"/>
    </row>
    <row r="21" spans="1:15" x14ac:dyDescent="0.25">
      <c r="A21" s="11">
        <v>12</v>
      </c>
      <c r="B21" s="17">
        <f t="shared" si="8"/>
        <v>2071010.7526345451</v>
      </c>
      <c r="C21" s="11">
        <f t="shared" si="0"/>
        <v>103.82308260177398</v>
      </c>
      <c r="D21" s="11">
        <f t="shared" si="1"/>
        <v>11.357514803697601</v>
      </c>
      <c r="E21" s="11">
        <f t="shared" si="2"/>
        <v>1</v>
      </c>
      <c r="F21" s="11">
        <f t="shared" si="3"/>
        <v>23521535.281663757</v>
      </c>
      <c r="G21" s="11"/>
      <c r="I21" s="11">
        <v>12</v>
      </c>
      <c r="J21" s="11">
        <f t="shared" si="9"/>
        <v>4374.4992380459516</v>
      </c>
      <c r="K21" s="11">
        <f t="shared" si="4"/>
        <v>103.82308260177398</v>
      </c>
      <c r="L21" s="11">
        <f t="shared" si="5"/>
        <v>11.357514803697601</v>
      </c>
      <c r="M21" s="11">
        <f t="shared" si="6"/>
        <v>1</v>
      </c>
      <c r="N21" s="11">
        <f t="shared" ref="N21:N29" si="10">M21*L21*J21</f>
        <v>49683.439854870769</v>
      </c>
      <c r="O21" s="11"/>
    </row>
    <row r="22" spans="1:15" x14ac:dyDescent="0.25">
      <c r="A22" s="11">
        <v>13</v>
      </c>
      <c r="B22" s="17">
        <f t="shared" si="8"/>
        <v>1695600.193137079</v>
      </c>
      <c r="C22" s="11">
        <f t="shared" si="0"/>
        <v>105.39167973308376</v>
      </c>
      <c r="D22" s="11">
        <f t="shared" si="1"/>
        <v>11.8943722224338</v>
      </c>
      <c r="E22" s="11">
        <f t="shared" si="2"/>
        <v>1</v>
      </c>
      <c r="F22" s="11">
        <f t="shared" si="3"/>
        <v>20168099.837603059</v>
      </c>
      <c r="G22" s="11"/>
      <c r="I22" s="11">
        <v>13</v>
      </c>
      <c r="J22" s="11">
        <f t="shared" si="9"/>
        <v>2045.8064286145207</v>
      </c>
      <c r="K22" s="11">
        <f t="shared" si="4"/>
        <v>105.39167973308376</v>
      </c>
      <c r="L22" s="11">
        <f t="shared" si="5"/>
        <v>11.8943722224338</v>
      </c>
      <c r="M22" s="11">
        <f t="shared" si="6"/>
        <v>1</v>
      </c>
      <c r="N22" s="11">
        <f t="shared" si="10"/>
        <v>24333.583156989051</v>
      </c>
      <c r="O22" s="11"/>
    </row>
    <row r="23" spans="1:15" x14ac:dyDescent="0.25">
      <c r="A23" s="11">
        <v>14</v>
      </c>
      <c r="B23" s="17">
        <f t="shared" si="8"/>
        <v>1388240.0230462921</v>
      </c>
      <c r="C23" s="11">
        <f t="shared" si="0"/>
        <v>106.64987916037511</v>
      </c>
      <c r="D23" s="11">
        <f t="shared" si="1"/>
        <v>12.337182028297201</v>
      </c>
      <c r="E23" s="11">
        <f t="shared" si="2"/>
        <v>1</v>
      </c>
      <c r="F23" s="11">
        <f t="shared" si="3"/>
        <v>17126969.86328961</v>
      </c>
      <c r="G23" s="11"/>
      <c r="I23" s="11">
        <v>14</v>
      </c>
      <c r="J23" s="11">
        <f t="shared" si="9"/>
        <v>956.75498282405579</v>
      </c>
      <c r="K23" s="11">
        <f t="shared" si="4"/>
        <v>106.64987916037511</v>
      </c>
      <c r="L23" s="11">
        <f t="shared" si="5"/>
        <v>12.337182028297201</v>
      </c>
      <c r="M23" s="11">
        <f t="shared" si="6"/>
        <v>1</v>
      </c>
      <c r="N23" s="11">
        <f t="shared" si="10"/>
        <v>11803.660379580739</v>
      </c>
      <c r="O23" s="11"/>
    </row>
    <row r="24" spans="1:15" x14ac:dyDescent="0.25">
      <c r="A24" s="11">
        <v>15</v>
      </c>
      <c r="B24" s="17">
        <f t="shared" si="8"/>
        <v>1136594.7995216856</v>
      </c>
      <c r="C24" s="11">
        <f t="shared" si="0"/>
        <v>107.65910311421108</v>
      </c>
      <c r="D24" s="11">
        <f t="shared" si="1"/>
        <v>12.700311501006645</v>
      </c>
      <c r="E24" s="11">
        <f t="shared" si="2"/>
        <v>1</v>
      </c>
      <c r="F24" s="11">
        <f t="shared" si="3"/>
        <v>14435108.004349606</v>
      </c>
      <c r="G24" s="11"/>
      <c r="I24" s="11">
        <v>15</v>
      </c>
      <c r="J24" s="11">
        <f t="shared" si="9"/>
        <v>447.44218434125327</v>
      </c>
      <c r="K24" s="11">
        <f t="shared" si="4"/>
        <v>107.65910311421108</v>
      </c>
      <c r="L24" s="11">
        <f t="shared" si="5"/>
        <v>12.700311501006645</v>
      </c>
      <c r="M24" s="11">
        <f t="shared" si="6"/>
        <v>1</v>
      </c>
      <c r="N24" s="11">
        <f t="shared" si="10"/>
        <v>5682.6551198247544</v>
      </c>
      <c r="O24" s="11"/>
    </row>
    <row r="25" spans="1:15" x14ac:dyDescent="0.25">
      <c r="A25" s="11">
        <v>16</v>
      </c>
      <c r="B25" s="17">
        <f t="shared" si="8"/>
        <v>930565.1161569074</v>
      </c>
      <c r="C25" s="11">
        <f t="shared" si="0"/>
        <v>108.4686194491446</v>
      </c>
      <c r="D25" s="11">
        <f t="shared" si="1"/>
        <v>12.996748259555517</v>
      </c>
      <c r="E25" s="11">
        <f t="shared" si="2"/>
        <v>1</v>
      </c>
      <c r="F25" s="11">
        <f t="shared" si="3"/>
        <v>12094320.553815363</v>
      </c>
      <c r="G25" s="11"/>
      <c r="I25" s="11">
        <v>16</v>
      </c>
      <c r="J25" s="11">
        <f t="shared" si="9"/>
        <v>209.25368764438306</v>
      </c>
      <c r="K25" s="11">
        <f t="shared" si="4"/>
        <v>108.4686194491446</v>
      </c>
      <c r="L25" s="11">
        <f t="shared" si="5"/>
        <v>12.996748259555517</v>
      </c>
      <c r="M25" s="11">
        <f t="shared" si="6"/>
        <v>1</v>
      </c>
      <c r="N25" s="11">
        <f t="shared" si="10"/>
        <v>2719.6175006977091</v>
      </c>
      <c r="O25" s="11"/>
    </row>
    <row r="26" spans="1:15" x14ac:dyDescent="0.25">
      <c r="A26" s="11">
        <v>17</v>
      </c>
      <c r="B26" s="17">
        <f t="shared" si="8"/>
        <v>761882.27833924443</v>
      </c>
      <c r="C26" s="11">
        <f t="shared" si="0"/>
        <v>109.11794678034138</v>
      </c>
      <c r="D26" s="11">
        <f t="shared" si="1"/>
        <v>13.237875469150367</v>
      </c>
      <c r="E26" s="11">
        <f t="shared" si="2"/>
        <v>1</v>
      </c>
      <c r="F26" s="11">
        <f t="shared" si="3"/>
        <v>10085702.722807476</v>
      </c>
      <c r="G26" s="11"/>
      <c r="I26" s="11">
        <v>17</v>
      </c>
      <c r="J26" s="11">
        <f t="shared" si="9"/>
        <v>97.860924439296213</v>
      </c>
      <c r="K26" s="11">
        <f t="shared" si="4"/>
        <v>109.11794678034138</v>
      </c>
      <c r="L26" s="11">
        <f t="shared" si="5"/>
        <v>13.237875469150367</v>
      </c>
      <c r="M26" s="11">
        <f t="shared" si="6"/>
        <v>1</v>
      </c>
      <c r="N26" s="11">
        <f t="shared" si="10"/>
        <v>1295.4707310233371</v>
      </c>
      <c r="O26" s="11"/>
    </row>
    <row r="27" spans="1:15" x14ac:dyDescent="0.25">
      <c r="A27" s="11">
        <v>18</v>
      </c>
      <c r="B27" s="17">
        <f t="shared" si="8"/>
        <v>623776.45150145818</v>
      </c>
      <c r="C27" s="11">
        <f t="shared" si="0"/>
        <v>109.63878368608928</v>
      </c>
      <c r="D27" s="11">
        <f t="shared" si="1"/>
        <v>13.433457431328012</v>
      </c>
      <c r="E27" s="11">
        <f t="shared" si="2"/>
        <v>1</v>
      </c>
      <c r="F27" s="11">
        <f t="shared" si="3"/>
        <v>8379474.4079096811</v>
      </c>
      <c r="G27" s="11"/>
      <c r="I27" s="11">
        <v>18</v>
      </c>
      <c r="J27" s="11">
        <f t="shared" si="9"/>
        <v>45.766268876412369</v>
      </c>
      <c r="K27" s="11">
        <f t="shared" si="4"/>
        <v>109.63878368608928</v>
      </c>
      <c r="L27" s="11">
        <f t="shared" si="5"/>
        <v>13.433457431328012</v>
      </c>
      <c r="M27" s="11">
        <f t="shared" si="6"/>
        <v>1</v>
      </c>
      <c r="N27" s="11">
        <f t="shared" si="10"/>
        <v>614.79922474199759</v>
      </c>
      <c r="O27" s="11"/>
    </row>
    <row r="28" spans="1:15" x14ac:dyDescent="0.25">
      <c r="A28" s="11">
        <v>19</v>
      </c>
      <c r="B28" s="17">
        <f t="shared" si="8"/>
        <v>510704.96389010007</v>
      </c>
      <c r="C28" s="11">
        <f t="shared" si="0"/>
        <v>110.05655615515978</v>
      </c>
      <c r="D28" s="11">
        <f t="shared" si="1"/>
        <v>13.591740378311721</v>
      </c>
      <c r="E28" s="11">
        <f t="shared" si="2"/>
        <v>1</v>
      </c>
      <c r="F28" s="11">
        <f t="shared" si="3"/>
        <v>6941369.2791093029</v>
      </c>
      <c r="G28" s="11" t="s">
        <v>130</v>
      </c>
      <c r="I28" s="11">
        <v>19</v>
      </c>
      <c r="J28" s="11">
        <f t="shared" si="9"/>
        <v>21.403347443006584</v>
      </c>
      <c r="K28" s="11">
        <f t="shared" si="4"/>
        <v>110.05655615515978</v>
      </c>
      <c r="L28" s="11">
        <f t="shared" si="5"/>
        <v>13.591740378311721</v>
      </c>
      <c r="M28" s="11">
        <f t="shared" si="6"/>
        <v>1</v>
      </c>
      <c r="N28" s="11">
        <f t="shared" si="10"/>
        <v>290.90874167214753</v>
      </c>
      <c r="O28" s="11" t="s">
        <v>130</v>
      </c>
    </row>
    <row r="29" spans="1:15" x14ac:dyDescent="0.25">
      <c r="A29" s="11">
        <v>20</v>
      </c>
      <c r="B29" s="17">
        <f t="shared" si="8"/>
        <v>418129.85968640517</v>
      </c>
      <c r="C29" s="11">
        <f t="shared" si="0"/>
        <v>110.39165882163201</v>
      </c>
      <c r="D29" s="11">
        <f t="shared" si="1"/>
        <v>13.719608511566326</v>
      </c>
      <c r="E29" s="11">
        <f t="shared" si="2"/>
        <v>1</v>
      </c>
      <c r="F29" s="11">
        <f t="shared" si="3"/>
        <v>5736577.9818936381</v>
      </c>
      <c r="G29" s="11">
        <f>SUM(F10:F29)/1000</f>
        <v>403726.5354236628</v>
      </c>
      <c r="I29" s="11">
        <v>20</v>
      </c>
      <c r="J29" s="11">
        <f t="shared" si="9"/>
        <v>10.009627024722567</v>
      </c>
      <c r="K29" s="11">
        <f t="shared" si="4"/>
        <v>110.39165882163201</v>
      </c>
      <c r="L29" s="11">
        <f t="shared" si="5"/>
        <v>13.719608511566326</v>
      </c>
      <c r="M29" s="11">
        <f t="shared" si="6"/>
        <v>1</v>
      </c>
      <c r="N29" s="11">
        <f t="shared" si="10"/>
        <v>137.32816412598805</v>
      </c>
      <c r="O29" s="11">
        <f>SUM(N10:N29)/1000</f>
        <v>20160.182874559381</v>
      </c>
    </row>
    <row r="31" spans="1:15" x14ac:dyDescent="0.25">
      <c r="G31">
        <f>9600/G29</f>
        <v>2.377847170715679E-2</v>
      </c>
      <c r="O31">
        <f>9600/O29</f>
        <v>0.47618615663027891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F13" sqref="F13"/>
    </sheetView>
  </sheetViews>
  <sheetFormatPr defaultRowHeight="15" x14ac:dyDescent="0.25"/>
  <sheetData>
    <row r="1" spans="1:3" x14ac:dyDescent="0.25">
      <c r="A1" t="s">
        <v>5</v>
      </c>
      <c r="B1">
        <v>2</v>
      </c>
    </row>
    <row r="2" spans="1:3" x14ac:dyDescent="0.25">
      <c r="A2" t="s">
        <v>102</v>
      </c>
      <c r="B2">
        <v>0.4</v>
      </c>
    </row>
    <row r="3" spans="1:3" x14ac:dyDescent="0.25">
      <c r="A3">
        <v>1983</v>
      </c>
      <c r="B3">
        <f>1</f>
        <v>1</v>
      </c>
      <c r="C3">
        <f t="shared" ref="C3:C11" si="0">B3/$B$36*$C$36</f>
        <v>0.20809149157560503</v>
      </c>
    </row>
    <row r="4" spans="1:3" x14ac:dyDescent="0.25">
      <c r="A4">
        <v>1984</v>
      </c>
      <c r="B4">
        <f>B3*(1+$B$1/100)</f>
        <v>1.02</v>
      </c>
      <c r="C4">
        <f t="shared" si="0"/>
        <v>0.21225332140711708</v>
      </c>
    </row>
    <row r="5" spans="1:3" x14ac:dyDescent="0.25">
      <c r="A5">
        <v>1985</v>
      </c>
      <c r="B5">
        <f>B4*(1+$B$1/100)</f>
        <v>1.0404</v>
      </c>
      <c r="C5">
        <f t="shared" si="0"/>
        <v>0.21649838783525943</v>
      </c>
    </row>
    <row r="6" spans="1:3" x14ac:dyDescent="0.25">
      <c r="A6">
        <v>1986</v>
      </c>
      <c r="B6">
        <f t="shared" ref="B6:B26" si="1">B5*(1+$B$1/100)</f>
        <v>1.0612079999999999</v>
      </c>
      <c r="C6">
        <f t="shared" si="0"/>
        <v>0.22082835559196462</v>
      </c>
    </row>
    <row r="7" spans="1:3" x14ac:dyDescent="0.25">
      <c r="A7">
        <v>1987</v>
      </c>
      <c r="B7">
        <f t="shared" si="1"/>
        <v>1.08243216</v>
      </c>
      <c r="C7">
        <f t="shared" si="0"/>
        <v>0.22524492270380392</v>
      </c>
    </row>
    <row r="8" spans="1:3" x14ac:dyDescent="0.25">
      <c r="A8">
        <v>1988</v>
      </c>
      <c r="B8">
        <f t="shared" si="1"/>
        <v>1.1040808032</v>
      </c>
      <c r="C8">
        <f t="shared" si="0"/>
        <v>0.22974982115788001</v>
      </c>
    </row>
    <row r="9" spans="1:3" x14ac:dyDescent="0.25">
      <c r="A9">
        <v>1989</v>
      </c>
      <c r="B9">
        <f t="shared" si="1"/>
        <v>1.1261624192640001</v>
      </c>
      <c r="C9">
        <f t="shared" si="0"/>
        <v>0.23434481758103762</v>
      </c>
    </row>
    <row r="10" spans="1:3" x14ac:dyDescent="0.25">
      <c r="A10">
        <v>1990</v>
      </c>
      <c r="B10">
        <f t="shared" si="1"/>
        <v>1.14868566764928</v>
      </c>
      <c r="C10">
        <f t="shared" si="0"/>
        <v>0.23903171393265837</v>
      </c>
    </row>
    <row r="11" spans="1:3" x14ac:dyDescent="0.25">
      <c r="A11">
        <v>1991</v>
      </c>
      <c r="B11">
        <f t="shared" si="1"/>
        <v>1.1716593810022657</v>
      </c>
      <c r="C11">
        <f t="shared" si="0"/>
        <v>0.24381234821131154</v>
      </c>
    </row>
    <row r="12" spans="1:3" x14ac:dyDescent="0.25">
      <c r="A12">
        <v>1992</v>
      </c>
      <c r="B12">
        <f t="shared" si="1"/>
        <v>1.1950925686223111</v>
      </c>
      <c r="C12">
        <f>B12/$B$36*$C$36</f>
        <v>0.24868859517553776</v>
      </c>
    </row>
    <row r="13" spans="1:3" x14ac:dyDescent="0.25">
      <c r="A13">
        <v>1993</v>
      </c>
      <c r="B13">
        <f t="shared" si="1"/>
        <v>1.2189944199947573</v>
      </c>
      <c r="C13">
        <f t="shared" ref="C13:C34" si="2">B13/$B$36*$C$36</f>
        <v>0.25366236707904855</v>
      </c>
    </row>
    <row r="14" spans="1:3" x14ac:dyDescent="0.25">
      <c r="A14">
        <v>1994</v>
      </c>
      <c r="B14">
        <f t="shared" si="1"/>
        <v>1.2433743083946525</v>
      </c>
      <c r="C14">
        <f t="shared" si="2"/>
        <v>0.25873561442062953</v>
      </c>
    </row>
    <row r="15" spans="1:3" x14ac:dyDescent="0.25">
      <c r="A15">
        <v>1995</v>
      </c>
      <c r="B15">
        <f t="shared" si="1"/>
        <v>1.2682417945625455</v>
      </c>
      <c r="C15">
        <f t="shared" si="2"/>
        <v>0.26391032670904208</v>
      </c>
    </row>
    <row r="16" spans="1:3" x14ac:dyDescent="0.25">
      <c r="A16">
        <v>1996</v>
      </c>
      <c r="B16">
        <f t="shared" si="1"/>
        <v>1.2936066304537963</v>
      </c>
      <c r="C16">
        <f t="shared" si="2"/>
        <v>0.26918853324322289</v>
      </c>
    </row>
    <row r="17" spans="1:3" x14ac:dyDescent="0.25">
      <c r="A17">
        <v>1997</v>
      </c>
      <c r="B17">
        <f t="shared" si="1"/>
        <v>1.3194787630628724</v>
      </c>
      <c r="C17">
        <f t="shared" si="2"/>
        <v>0.2745723039080874</v>
      </c>
    </row>
    <row r="18" spans="1:3" x14ac:dyDescent="0.25">
      <c r="A18">
        <v>1998</v>
      </c>
      <c r="B18">
        <f t="shared" si="1"/>
        <v>1.3458683383241299</v>
      </c>
      <c r="C18">
        <f t="shared" si="2"/>
        <v>0.28006374998624917</v>
      </c>
    </row>
    <row r="19" spans="1:3" x14ac:dyDescent="0.25">
      <c r="A19">
        <v>1999</v>
      </c>
      <c r="B19">
        <f t="shared" si="1"/>
        <v>1.3727857050906125</v>
      </c>
      <c r="C19">
        <f t="shared" si="2"/>
        <v>0.28566502498597418</v>
      </c>
    </row>
    <row r="20" spans="1:3" x14ac:dyDescent="0.25">
      <c r="A20">
        <v>2000</v>
      </c>
      <c r="B20">
        <f t="shared" si="1"/>
        <v>1.4002414191924248</v>
      </c>
      <c r="C20">
        <f t="shared" si="2"/>
        <v>0.29137832548569365</v>
      </c>
    </row>
    <row r="21" spans="1:3" x14ac:dyDescent="0.25">
      <c r="A21">
        <v>2001</v>
      </c>
      <c r="B21">
        <f t="shared" si="1"/>
        <v>1.4282462475762734</v>
      </c>
      <c r="C21">
        <f t="shared" si="2"/>
        <v>0.29720589199540753</v>
      </c>
    </row>
    <row r="22" spans="1:3" x14ac:dyDescent="0.25">
      <c r="A22">
        <v>2002</v>
      </c>
      <c r="B22">
        <f t="shared" si="1"/>
        <v>1.4568111725277988</v>
      </c>
      <c r="C22">
        <f t="shared" si="2"/>
        <v>0.3031500098353157</v>
      </c>
    </row>
    <row r="23" spans="1:3" x14ac:dyDescent="0.25">
      <c r="A23">
        <v>2003</v>
      </c>
      <c r="B23">
        <f t="shared" si="1"/>
        <v>1.4859473959783549</v>
      </c>
      <c r="C23">
        <f t="shared" si="2"/>
        <v>0.30921301003202206</v>
      </c>
    </row>
    <row r="24" spans="1:3" x14ac:dyDescent="0.25">
      <c r="A24">
        <v>2004</v>
      </c>
      <c r="B24">
        <f t="shared" si="1"/>
        <v>1.5156663438979221</v>
      </c>
      <c r="C24">
        <f t="shared" si="2"/>
        <v>0.31539727023266245</v>
      </c>
    </row>
    <row r="25" spans="1:3" x14ac:dyDescent="0.25">
      <c r="A25">
        <v>2005</v>
      </c>
      <c r="B25">
        <f t="shared" si="1"/>
        <v>1.5459796707758806</v>
      </c>
      <c r="C25">
        <f t="shared" si="2"/>
        <v>0.32170521563731574</v>
      </c>
    </row>
    <row r="26" spans="1:3" x14ac:dyDescent="0.25">
      <c r="A26">
        <v>2006</v>
      </c>
      <c r="B26">
        <f t="shared" si="1"/>
        <v>1.5768992641913981</v>
      </c>
      <c r="C26">
        <f t="shared" si="2"/>
        <v>0.32813931995006207</v>
      </c>
    </row>
    <row r="27" spans="1:3" x14ac:dyDescent="0.25">
      <c r="A27">
        <v>2007</v>
      </c>
      <c r="B27">
        <f>B26*(1+$B$1/100)</f>
        <v>1.6084372494752261</v>
      </c>
      <c r="C27">
        <f t="shared" si="2"/>
        <v>0.33470210634906328</v>
      </c>
    </row>
    <row r="28" spans="1:3" x14ac:dyDescent="0.25">
      <c r="A28">
        <v>2008</v>
      </c>
      <c r="B28">
        <f>B27*(1+$B$1/100)</f>
        <v>1.6406059944647307</v>
      </c>
      <c r="C28">
        <f t="shared" si="2"/>
        <v>0.3413961484760446</v>
      </c>
    </row>
    <row r="29" spans="1:3" x14ac:dyDescent="0.25">
      <c r="A29">
        <v>2009</v>
      </c>
      <c r="B29">
        <f t="shared" ref="B29:B36" si="3">B28*(1+$B$1/100)</f>
        <v>1.6734181143540252</v>
      </c>
      <c r="C29">
        <f t="shared" si="2"/>
        <v>0.34822407144556544</v>
      </c>
    </row>
    <row r="30" spans="1:3" x14ac:dyDescent="0.25">
      <c r="A30">
        <v>2010</v>
      </c>
      <c r="B30">
        <f t="shared" si="3"/>
        <v>1.7068864766411058</v>
      </c>
      <c r="C30">
        <f t="shared" si="2"/>
        <v>0.35518855287447676</v>
      </c>
    </row>
    <row r="31" spans="1:3" x14ac:dyDescent="0.25">
      <c r="A31">
        <v>2011</v>
      </c>
      <c r="B31">
        <f t="shared" si="3"/>
        <v>1.7410242061739281</v>
      </c>
      <c r="C31">
        <f t="shared" si="2"/>
        <v>0.36229232393196631</v>
      </c>
    </row>
    <row r="32" spans="1:3" x14ac:dyDescent="0.25">
      <c r="A32">
        <v>2012</v>
      </c>
      <c r="B32">
        <f t="shared" si="3"/>
        <v>1.7758446902974065</v>
      </c>
      <c r="C32">
        <f t="shared" si="2"/>
        <v>0.36953817041060566</v>
      </c>
    </row>
    <row r="33" spans="1:3" x14ac:dyDescent="0.25">
      <c r="A33">
        <v>2013</v>
      </c>
      <c r="B33">
        <f t="shared" si="3"/>
        <v>1.8113615841033548</v>
      </c>
      <c r="C33">
        <f t="shared" si="2"/>
        <v>0.37692893381881776</v>
      </c>
    </row>
    <row r="34" spans="1:3" x14ac:dyDescent="0.25">
      <c r="A34">
        <v>2014</v>
      </c>
      <c r="B34">
        <f t="shared" si="3"/>
        <v>1.8475888157854219</v>
      </c>
      <c r="C34">
        <f t="shared" si="2"/>
        <v>0.38446751249519417</v>
      </c>
    </row>
    <row r="35" spans="1:3" x14ac:dyDescent="0.25">
      <c r="A35">
        <v>2015</v>
      </c>
      <c r="B35">
        <f t="shared" si="3"/>
        <v>1.8845405921011305</v>
      </c>
      <c r="C35">
        <f>B35/$B$36*$C$36</f>
        <v>0.39215686274509803</v>
      </c>
    </row>
    <row r="36" spans="1:3" x14ac:dyDescent="0.25">
      <c r="A36">
        <v>2016</v>
      </c>
      <c r="B36">
        <f t="shared" si="3"/>
        <v>1.9222314039431532</v>
      </c>
      <c r="C36">
        <f>B2</f>
        <v>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Stock</vt:lpstr>
      <vt:lpstr>Fleet</vt:lpstr>
      <vt:lpstr>Obs</vt:lpstr>
      <vt:lpstr>Imp</vt:lpstr>
      <vt:lpstr>OM</vt:lpstr>
      <vt:lpstr>SR</vt:lpstr>
      <vt:lpstr>Growth</vt:lpstr>
      <vt:lpstr>SSB0</vt:lpstr>
      <vt:lpstr>M calcs</vt:lpstr>
      <vt:lpstr>SR!hs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dc:creator>
  <cp:lastModifiedBy>Quang C. Huynh</cp:lastModifiedBy>
  <dcterms:created xsi:type="dcterms:W3CDTF">2017-06-29T22:07:42Z</dcterms:created>
  <dcterms:modified xsi:type="dcterms:W3CDTF">2019-03-15T19:50:35Z</dcterms:modified>
</cp:coreProperties>
</file>